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17" activeTab="2"/>
  </bookViews>
  <sheets>
    <sheet name="Orçamento" sheetId="1" r:id="rId1"/>
    <sheet name="Cronograma Sublote 01A" sheetId="2" r:id="rId2"/>
    <sheet name="Cronograma Sublote 01B" sheetId="3" r:id="rId3"/>
    <sheet name="BDI" sheetId="4" r:id="rId4"/>
    <sheet name="Comp.1" sheetId="5" r:id="rId5"/>
    <sheet name="Comp.2" sheetId="6" r:id="rId6"/>
    <sheet name="Comp.3" sheetId="7" r:id="rId7"/>
    <sheet name="Comp.4" sheetId="8" r:id="rId8"/>
    <sheet name="Comp.5" sheetId="9" r:id="rId9"/>
    <sheet name="Comp.6" sheetId="10" r:id="rId10"/>
    <sheet name="Comp.7" sheetId="11" r:id="rId11"/>
    <sheet name="Comp.8" sheetId="12" r:id="rId12"/>
    <sheet name="Comp.9" sheetId="13" r:id="rId13"/>
    <sheet name="Comp.10" sheetId="14" r:id="rId14"/>
    <sheet name="Comp.11" sheetId="15" r:id="rId15"/>
    <sheet name="Comp.12" sheetId="16" r:id="rId16"/>
    <sheet name="Comp.13" sheetId="17" r:id="rId17"/>
    <sheet name="Comp.14" sheetId="18" r:id="rId18"/>
    <sheet name="Comp.15" sheetId="19" r:id="rId19"/>
    <sheet name="Comp.16" sheetId="20" r:id="rId20"/>
    <sheet name="Comp.17" sheetId="21" r:id="rId21"/>
    <sheet name="Cotações" sheetId="22" r:id="rId22"/>
  </sheets>
  <externalReferences>
    <externalReference r:id="rId25"/>
  </externalReferences>
  <definedNames>
    <definedName name="_xlnm.Print_Area" localSheetId="3">'BDI'!$A$1:$F$46</definedName>
    <definedName name="_xlnm.Print_Area" localSheetId="4">'Comp.1'!$A$1:$K$19</definedName>
    <definedName name="_xlnm.Print_Area" localSheetId="13">'Comp.10'!$A$1:$K$19</definedName>
    <definedName name="_xlnm.Print_Area" localSheetId="14">'Comp.11'!$A$1:$K$19</definedName>
    <definedName name="_xlnm.Print_Area" localSheetId="15">'Comp.12'!$A$1:$K$19</definedName>
    <definedName name="_xlnm.Print_Area" localSheetId="16">'Comp.13'!$A$1:$K$19</definedName>
    <definedName name="_xlnm.Print_Area" localSheetId="17">'Comp.14'!$A$1:$K$19</definedName>
    <definedName name="_xlnm.Print_Area" localSheetId="18">'Comp.15'!$A$1:$K$19</definedName>
    <definedName name="_xlnm.Print_Area" localSheetId="19">'Comp.16'!$A$1:$K$17</definedName>
    <definedName name="_xlnm.Print_Area" localSheetId="20">'Comp.17'!$A$1:$K$17</definedName>
    <definedName name="_xlnm.Print_Area" localSheetId="5">'Comp.2'!$A$1:$K$19</definedName>
    <definedName name="_xlnm.Print_Area" localSheetId="6">'Comp.3'!$A$1:$K$19</definedName>
    <definedName name="_xlnm.Print_Area" localSheetId="7">'Comp.4'!$A$1:$K$19</definedName>
    <definedName name="_xlnm.Print_Area" localSheetId="8">'Comp.5'!$A$1:$K$19</definedName>
    <definedName name="_xlnm.Print_Area" localSheetId="9">'Comp.6'!$A$1:$K$19</definedName>
    <definedName name="_xlnm.Print_Area" localSheetId="10">'Comp.7'!$A$1:$K$19</definedName>
    <definedName name="_xlnm.Print_Area" localSheetId="11">'Comp.8'!$A$1:$K$19</definedName>
    <definedName name="_xlnm.Print_Area" localSheetId="12">'Comp.9'!$A$1:$K$19</definedName>
    <definedName name="_xlnm.Print_Area" localSheetId="21">'Cotações'!$A$1:$G$28</definedName>
    <definedName name="_xlnm.Print_Area" localSheetId="1">'Cronograma Sublote 01A'!$A$1:$K$20</definedName>
    <definedName name="_xlnm.Print_Area" localSheetId="0">'Orçamento'!$A$1:$L$99</definedName>
    <definedName name="DATABASE">TEXT(Import.DataBase,"mm-aaaa")</definedName>
    <definedName name="Import.DataBase">'[1]DADOS'!$A$38</definedName>
    <definedName name="Referencia.Descricao" localSheetId="3">#N/A</definedName>
    <definedName name="Referencia.Descricao" localSheetId="20">#N/A</definedName>
    <definedName name="Referencia.Descricao" localSheetId="21">#N/A</definedName>
    <definedName name="Referencia.Descricao" localSheetId="1">#N/A</definedName>
    <definedName name="Referencia.Descricao" localSheetId="0">#N/A</definedName>
    <definedName name="Referencia.Descricao">IF(ISNUMBER([1]!linhaSINAPIxls),INDEX(INDIRECT("'[Referência "&amp;DATABASE&amp;".xls]Banco'!$b:$g"),[1]!linhaSINAPIxls,3),"")</definedName>
    <definedName name="_xlnm.Print_Titles" localSheetId="0">'Orçamento'!$1:$9</definedName>
  </definedNames>
  <calcPr fullCalcOnLoad="1"/>
</workbook>
</file>

<file path=xl/sharedStrings.xml><?xml version="1.0" encoding="utf-8"?>
<sst xmlns="http://schemas.openxmlformats.org/spreadsheetml/2006/main" count="1172" uniqueCount="260">
  <si>
    <t>ITEM</t>
  </si>
  <si>
    <t>QUANT</t>
  </si>
  <si>
    <t>UNID</t>
  </si>
  <si>
    <t>UNIT</t>
  </si>
  <si>
    <t>TOTAL</t>
  </si>
  <si>
    <t>1.1</t>
  </si>
  <si>
    <t>2.1</t>
  </si>
  <si>
    <t>Total  do Item</t>
  </si>
  <si>
    <t>m³</t>
  </si>
  <si>
    <t xml:space="preserve">TOTAL  ORÇAMENTO </t>
  </si>
  <si>
    <t>m</t>
  </si>
  <si>
    <t>2.2</t>
  </si>
  <si>
    <t>3.1</t>
  </si>
  <si>
    <t>1.2</t>
  </si>
  <si>
    <t>m²</t>
  </si>
  <si>
    <t>1.3</t>
  </si>
  <si>
    <t>3.2</t>
  </si>
  <si>
    <t>unid.</t>
  </si>
  <si>
    <t>Total do Item</t>
  </si>
  <si>
    <t>1.4</t>
  </si>
  <si>
    <t>1.5</t>
  </si>
  <si>
    <t>2.3</t>
  </si>
  <si>
    <t>MATERIAL</t>
  </si>
  <si>
    <t>MÃO DE OBRA</t>
  </si>
  <si>
    <t>1.6</t>
  </si>
  <si>
    <t>1.7</t>
  </si>
  <si>
    <t>PLANILHAS DE COMPOSIÇÃO DE CUSTOS</t>
  </si>
  <si>
    <t>PLANILHA ORÇAMENTÁRIA</t>
  </si>
  <si>
    <t>DISCRIMINAÇÃO</t>
  </si>
  <si>
    <t>SERVIÇOS</t>
  </si>
  <si>
    <t>kg</t>
  </si>
  <si>
    <t>PREÇO SINAPI S/BDI</t>
  </si>
  <si>
    <t>Composição 10</t>
  </si>
  <si>
    <t>Composição 11</t>
  </si>
  <si>
    <t>Composição 12</t>
  </si>
  <si>
    <t>Composição 13</t>
  </si>
  <si>
    <t>Composição 14</t>
  </si>
  <si>
    <t>Composição 15</t>
  </si>
  <si>
    <t>Código</t>
  </si>
  <si>
    <t>Unit. Total</t>
  </si>
  <si>
    <t>Tabelas utilizadas:</t>
  </si>
  <si>
    <t>ENG.CIVIL</t>
  </si>
  <si>
    <t>UNIDADE</t>
  </si>
  <si>
    <t>BDI</t>
  </si>
  <si>
    <t>Unit. Total (BDI)</t>
  </si>
  <si>
    <t>Composição 16</t>
  </si>
  <si>
    <t>PREFEITO MUNICIPAL</t>
  </si>
  <si>
    <t>%</t>
  </si>
  <si>
    <t>PARCELA</t>
  </si>
  <si>
    <t>PARCELA ACUMULADA</t>
  </si>
  <si>
    <t>VALOR TOTAL</t>
  </si>
  <si>
    <t>REDE PLUVIAL</t>
  </si>
  <si>
    <t>90102 (SINAPI)</t>
  </si>
  <si>
    <t xml:space="preserve">REATERRO MECANIZADO DE VALA COM RETROESCAVADEIRA (CAPACIDADE DA CAÇAMBA DA RETRO: 0,26 M³ / POTÊNCIA: 88 HP), LARGURA DE 0,8 A 1,5 M, PROFUN DIDADE ATÉ 1,5 M, COM SOLO DE 1ª CATEGORIA EM LOCAIS COM ALTO NÍVEL DE INTERFERÊNCIA
  </t>
  </si>
  <si>
    <t>93375 (SINAPI)</t>
  </si>
  <si>
    <t>74005/001 (SINAPI)</t>
  </si>
  <si>
    <t>92221 (SINAPI)</t>
  </si>
  <si>
    <t xml:space="preserve"> TUBO DE CONCRETO PARA REDES COLETORAS DE ÁGUAS PLUVIAIS, DIÂMETRO DE 600 MM, JUNTA RÍGIDA, INSTALADO EM LOCAL COM ALTO NÍVEL DE INTERFERÊNCIAS - FORNECIMENTO E ASSENTAMENTO
  </t>
  </si>
  <si>
    <t xml:space="preserve"> TUBO DE CONCRETO PARA REDES COLETORAS DE ÁGUAS PLUVIAIS, DIÂMETRO DE 500 MM, JUNTA RÍGIDA, INSTALADO EM LOCAL COM ALTO NÍVEL DE INTERFERÊNCIAS - FORNECIMENTO E ASSENTAMENTO
  </t>
  </si>
  <si>
    <t>92220 (SINAPI)</t>
  </si>
  <si>
    <t xml:space="preserve"> TUBO DE CONCRETO PARA REDES COLETORAS DE ÁGUAS PLUVIAIS, DIÂMETRO DE 800 MM, JUNTA RÍGIDA, INSTALADO EM LOCAL COM ALTO NÍVEL DE INTERFERÊNCIAS - FORNECIMENTO E ASSENTAMENTO
  </t>
  </si>
  <si>
    <t>92223 (SINAPI)</t>
  </si>
  <si>
    <t>Composição 01</t>
  </si>
  <si>
    <t>PROPRIETÁRIO: PREFEITURA MUNICIPAL DE COXILHA</t>
  </si>
  <si>
    <t xml:space="preserve">EMPRESA - PROJETO E ORÇAMENTO: </t>
  </si>
  <si>
    <t>ALVENARIA TIJOLO MACIÇO 20CM DE ESPESSURA</t>
  </si>
  <si>
    <t>CONCRETO FCK 25MPA</t>
  </si>
  <si>
    <t>CORTE E DOBRA DE AÇO CA-50 - 6,30mm</t>
  </si>
  <si>
    <t>CORTE E DOBRA DE AÇO CA-60 - 4,20mm</t>
  </si>
  <si>
    <t>GUIA CHAPÉU PRÉ-MOLDADO</t>
  </si>
  <si>
    <t>REVESTIMENTO EM ARGAMASSA 1:3</t>
  </si>
  <si>
    <t>NELSO LUIZ DE OLIVEIRA</t>
  </si>
  <si>
    <t xml:space="preserve">CREA/RS 54246 </t>
  </si>
  <si>
    <t xml:space="preserve"> UNIDADE : UNID.</t>
  </si>
  <si>
    <t>COXILHA/RS</t>
  </si>
  <si>
    <t>TOTAL DO ITEM</t>
  </si>
  <si>
    <t>Composição 1 - BOCA DE LOBO - TAMANHO 01</t>
  </si>
  <si>
    <t>Composição 2 - BOCA DE LOBO - TAMANHO 02</t>
  </si>
  <si>
    <t>Composição 02</t>
  </si>
  <si>
    <t>BOCA DE LOBO - TAMANHO 02 - N04, N13 E N31</t>
  </si>
  <si>
    <t>Composição 3 - BOCA DE LOBO - TAMANHO 03</t>
  </si>
  <si>
    <t>Composição 03</t>
  </si>
  <si>
    <t>BOCA DE LOBO - TAMANHO 03 - N21, N33, N38 E N46</t>
  </si>
  <si>
    <t>BOCA DE LOBO - TAMANHO 01 - N01, N03, N05, N07, N08, N09, N10, N16, N17, N18, N20, N22, N24, N25, N30, N32, N36, N37, N40, N42 E N45</t>
  </si>
  <si>
    <t>Composição 4 - BOCA DE LOBO - TAMANHO 04</t>
  </si>
  <si>
    <t>BOCA DE LOBO - TAMANHO 04 - N34 E N41</t>
  </si>
  <si>
    <t>BOCA DE LOBO - TAMANHO 05 - N39</t>
  </si>
  <si>
    <t xml:space="preserve">FORMA DE MADEIRA SERRADA (duas utilizações) </t>
  </si>
  <si>
    <t>Composição 5 - BOCA DE LOBO - TAMANHO 05</t>
  </si>
  <si>
    <t>Composição 6 - BOCA DE LOBO - TAMANHO 06</t>
  </si>
  <si>
    <t>BOCA DE LOBO - TAMANHO 06 - N02</t>
  </si>
  <si>
    <t>Composição 04</t>
  </si>
  <si>
    <t>Composição 05</t>
  </si>
  <si>
    <t>Composição 06</t>
  </si>
  <si>
    <t>Composição 07</t>
  </si>
  <si>
    <t>Composição 08</t>
  </si>
  <si>
    <t>Composição 09</t>
  </si>
  <si>
    <t>Composição 7 - BOCA DE LOBO - TAMANHO 07</t>
  </si>
  <si>
    <t>BOCA DE LOBO - TAMANHO 08 - N11, N12 E N15</t>
  </si>
  <si>
    <t>Composição 8 - BOCA DE LOBO - TAMANHO 08</t>
  </si>
  <si>
    <t>Composição 9 - BOCA DE LOBO - TAMANHO 09</t>
  </si>
  <si>
    <t>BOCA DE LOBO - TAMANHO 09 - N06</t>
  </si>
  <si>
    <t>Composição 10 - BOCA DE LOBO - TAMANHO 10</t>
  </si>
  <si>
    <t>BOCA DE LOBO - TAMANHO 10 - N27</t>
  </si>
  <si>
    <t>Composição 11 - BOCA DE LOBO - TAMANHO 11</t>
  </si>
  <si>
    <t>BOCA DE LOBO - TAMANHO 11 - N28</t>
  </si>
  <si>
    <t>BOCA DE LOBO - TAMANHO 12 - N26</t>
  </si>
  <si>
    <t>Composição 12 - BOCA DE LOBO - TAMANHO 12</t>
  </si>
  <si>
    <t>Composição 13 - CAIXA DE LIGAÇÃO COM TUBO DE QUEDA - TAMANHO 01</t>
  </si>
  <si>
    <t>CAIXA DE LIGAÇÃO COM TUBO DE QUEDA - TAMANHO 01 - N23</t>
  </si>
  <si>
    <t>TAMPA METALICA - D= 90</t>
  </si>
  <si>
    <t>Composição 14 - CAIXA DE LIGAÇÃO COM TUBO DE QUEDA - TAMANHO 02</t>
  </si>
  <si>
    <t>Composição 15 - CAIXA DE LIGAÇÃO COM TUBO DE QUEDA - TAMANHO 03</t>
  </si>
  <si>
    <t>CAIXA DE LIGAÇÃO COM TUBO DE QUEDA - TAMANHO 02 - N19 e N35</t>
  </si>
  <si>
    <t>CAIXA DE LIGAÇÃO COM TUBO DE QUEDA - TAMANHO 03 - N14</t>
  </si>
  <si>
    <t>VERTEDOURO - N29 E N47</t>
  </si>
  <si>
    <t>Composição 16 - VERTEDOURO</t>
  </si>
  <si>
    <t>BOCA DE LOBO - TAMANHO 07 - N43 E N44</t>
  </si>
  <si>
    <t>REDE DE DISTRIBUIÇÃO DE ÁGUA</t>
  </si>
  <si>
    <t>BDI: 26,36%</t>
  </si>
  <si>
    <t>90100 (SINAPI)</t>
  </si>
  <si>
    <t xml:space="preserve"> ESCAVAÇÃO MECANIZADA DE VALA COM PROF. ATÉ 1,5 M (MÉDIA ENTRE MONTANTE E JUSANTE/UMA COMPOSIÇÃO POR TRECHO), COM RETROESCAVADEIRA (0,26 M3/88 HP), LARG. DE 0,8 M A 1,5 M, EM SOLO DE 1A CATEGORIA, EM LOCAIS COM  ALTO NÍVEL DE INTERFERÊNCIA
  </t>
  </si>
  <si>
    <t xml:space="preserve"> 93374 (SINAPI)</t>
  </si>
  <si>
    <t>TUBO PVC PBA JEI, CLASSE 20, DN 75MM, PARA REDE DE ÁGUA (NBR 5647)</t>
  </si>
  <si>
    <t>TUBO PVC PBA JEI, CLASSE 20, DN 50MM, PARA REDE DE ÁGUA (NBR 5647)</t>
  </si>
  <si>
    <t>TUBO PVC PBA JEI, CLASSE 20, DN 100MM, PARA REDE DE ÁGUA (NBR 5647)</t>
  </si>
  <si>
    <t>97121 (SINAPI)</t>
  </si>
  <si>
    <t>97122 (SINAPI)</t>
  </si>
  <si>
    <t>97123 (SINAPI)</t>
  </si>
  <si>
    <t>ASSENTAMENTO DE TUBO DE PVC PBA PARA REDE DE ÁGUA, DN 50 MM, JUNTA ELÁSTICA INTEGRADA, INSTALADO EM LOCAL COM NÍVEL ALTO DE INTERFERÊNCIAS (NÃO INCLUI FORNECIMENTO)</t>
  </si>
  <si>
    <t>ASSENTAMENTO DE TUBO DE PVC PBA PARA REDE DE ÁGUA, DN 75 MM, JUNTA ELÁSTICA INTEGRADA, INSTALADO EM LOCAL COM NÍVEL ALTO DE INTERFERÊNCIAS (NÃO INCLUI FORNECIMENTO)</t>
  </si>
  <si>
    <t>ASSENTAMENTO DE TUBO DE PVC PBA PARA REDE DE ÁGUA, DN 100 MM, JUNTA ELÁSTICA INTEGRADA, INSTALADO EM LOCAL COM NÍVEL ALTO DE INTERFERÊNCIAS (NÃO INCLUI FORNECIMENTO)</t>
  </si>
  <si>
    <t xml:space="preserve">COMPACTACAO MECANICA, C/COMPACTADOR PLACA 400 KG) </t>
  </si>
  <si>
    <t>4720 (SINAPI-I)</t>
  </si>
  <si>
    <t>36378 (SINAPI-I)</t>
  </si>
  <si>
    <t>36379 (SINAPI-I)</t>
  </si>
  <si>
    <t>36380 (SINAPI-I)</t>
  </si>
  <si>
    <t>PÓ DE BRITA, CAMADA DE 10CM NO FUNDO DA VALA</t>
  </si>
  <si>
    <t>94098 (SINAPI)</t>
  </si>
  <si>
    <t xml:space="preserve">PREPARO DE FUNDO DE VALA  COM LARGURA MENOR QUE 1,5 M, EM LOCAL COM NÍVEL ALTO DE INTERFERÊNCIA </t>
  </si>
  <si>
    <t>CAPKLIKPVCZ, DN 50, EM FERRO DUCTIL, PARA REDE DE ÁGUA</t>
  </si>
  <si>
    <t>COTAÇÕES</t>
  </si>
  <si>
    <t>DESCRIÇÃO</t>
  </si>
  <si>
    <t>EMPRESAS</t>
  </si>
  <si>
    <t>PREÇO (R$)</t>
  </si>
  <si>
    <t>E.Michelin Materiais de Construcao Ltda CNPJ:88.459.953/0001-63</t>
  </si>
  <si>
    <t>Bigolin Materiais de Construção Ltda                                          CNPJ: 89.422.331/0001-23</t>
  </si>
  <si>
    <t xml:space="preserve">Laje Agua Comercio De Materiais De Construcao Ltda              CNPJ: 05.372.455/0001-51 </t>
  </si>
  <si>
    <t>PREÇO MÉDIO</t>
  </si>
  <si>
    <t>CRUZKLIKPVCZ, DN 50, EM FERRO DUCTIL, PARA REDE DE ÁGUA</t>
  </si>
  <si>
    <t>LKLIKPVCZ  50 x 50, EM FERRO DUCTIL, PARA REDE DE ÁGUA</t>
  </si>
  <si>
    <t>LKLIKPVCZ  75 x 50, EM FERRO DUCTIL, PARA REDE DE ÁGUA</t>
  </si>
  <si>
    <t>TKLIKPPVCZ, DN 75X75, EM FERRO DUCTIL, PARA REDE DE ÁGUA</t>
  </si>
  <si>
    <t>TKLIKPPVCZ, DN 50X50, EM FERRO DUCTIL, PARA REDE DE ÁGUA</t>
  </si>
  <si>
    <t>LKLIKPVCZ  75 x 75, EM FERRO DUCTIL, PARA REDE DE ÁGUA</t>
  </si>
  <si>
    <t>C90KLIKPVCZ, DN 50X50, EM FERRO DUCTIL, PARA REDE DE ÁGUA</t>
  </si>
  <si>
    <t>C90KLIKPVCZ, DN 75X50, EM FERRO DUCTIL, PARA REDE DE ÁGUA</t>
  </si>
  <si>
    <t>C22KLIKPVCZ, DN 50X50, EM FERRO DUCTIL, PARA REDE DE ÁGUA</t>
  </si>
  <si>
    <t>C22KLIKPVCZ, DN 75X75, EM FERRO DUCTIL, PARA REDE DE ÁGUA</t>
  </si>
  <si>
    <t>RPBKLIKPVCZ  75 x 50, EM FERRO DUCTIL, PARA REDE DE ÁGUA</t>
  </si>
  <si>
    <t>VÁLVULA DE GAVETA C/BOLSAS C/CUNHA DE BORRACHA P/ TUBOS  DE PVC/PBA EURO 24  DN 100</t>
  </si>
  <si>
    <t>NIPLES DUPLOS ROSCA BSP F.G. 100</t>
  </si>
  <si>
    <t>FLANGE COM SEXTAVADO ROSCA BSP F.G. 100</t>
  </si>
  <si>
    <t>EXTREMIDADE FLANGE   BOLSA FB  PVC 100</t>
  </si>
  <si>
    <t>HIDRANTE  de COLUNA 75</t>
  </si>
  <si>
    <t>VÁLVULA REDUTORA DE PRESSÃO - BERMAD, MODELO 42 H DN 3/4"</t>
  </si>
  <si>
    <t>COTAÇÃO</t>
  </si>
  <si>
    <t>CÁLCULO DO BDI</t>
  </si>
  <si>
    <t>Item</t>
  </si>
  <si>
    <t>Descrição dos Serviços</t>
  </si>
  <si>
    <t>PV</t>
  </si>
  <si>
    <t>CD</t>
  </si>
  <si>
    <t>ADMINISTRAÇÃO CENTRAL</t>
  </si>
  <si>
    <t xml:space="preserve"> </t>
  </si>
  <si>
    <t>ESCRITÓRIO CENTRAL</t>
  </si>
  <si>
    <t>VIAGENS</t>
  </si>
  <si>
    <t>OUTROS</t>
  </si>
  <si>
    <t>IMPOSTOS E TAXAS</t>
  </si>
  <si>
    <t>ISS</t>
  </si>
  <si>
    <t>PIS</t>
  </si>
  <si>
    <t>Cofins</t>
  </si>
  <si>
    <t>TAXA DE RISCO</t>
  </si>
  <si>
    <t>SEGURO</t>
  </si>
  <si>
    <t>RISCO</t>
  </si>
  <si>
    <t>GARANTIA</t>
  </si>
  <si>
    <t>DESPESAS FINANCEIRAS</t>
  </si>
  <si>
    <t>LUCRO</t>
  </si>
  <si>
    <t>BDI - CALCULADO</t>
  </si>
  <si>
    <t>BDI (CALCULADO):</t>
  </si>
  <si>
    <t xml:space="preserve">BDI CALCULADO CONFORME ACÓRDÃO Nº 2369/2011 – TCU </t>
  </si>
  <si>
    <t>Fórmula de Cálculo do BDI</t>
  </si>
  <si>
    <t>AC = Administração central;</t>
  </si>
  <si>
    <t>S = Seguros;</t>
  </si>
  <si>
    <t>R = Riscos e imprevistos;</t>
  </si>
  <si>
    <t>G = Garantias exigidas em edital;</t>
  </si>
  <si>
    <t>DF = Despesas financeiras;</t>
  </si>
  <si>
    <t>L = Remuneração bruta do construtor;</t>
  </si>
  <si>
    <t>I = Tributos sobre o preço de venda (PIS, Cofins, CPRB e ISS).</t>
  </si>
  <si>
    <t xml:space="preserve"> CÓD. SINAPI 06/2019</t>
  </si>
  <si>
    <t xml:space="preserve">REATERRO MECANIZADO DE VALA COM RETROESCAVADEIRA (CAPACIDADE DA CAÇAMBA DA RETRO: 0,26 M³ / POTÊNCIA: 88 HP), LARGURA ATÉ 0,8 M, PROFUNDIDADE ATÉ 1,5 M, COM SOLO (SEM SUBSTITUIÇÃO) DE 1ª CATEGORIA EM LOCAIS COM ALTO NÍVEL DE INTERFERÊNCIA
  </t>
  </si>
  <si>
    <t xml:space="preserve"> ESCAVAÇÃO MECANIZADA DE VALA COM PROF. MAIOR QUE 1,5 M ATÉ 3,0 M (MÉDIA ENTRE MONTANTE E JUSANTE/UMA COMPOSIÇÃO POR TRECHO), COM RETROESCAVA DEIRA (0,26 M3/ POTÊNCIA:88 HP), LARGURA DE 0,8 M A 1,5 M, EM SOLO DE 1A CATEGORIA, EM LOCAIS COM ALTO NÍVEL DE INTERFERÊNCIA
  </t>
  </si>
  <si>
    <t>MURO DE CONTENÇÃO</t>
  </si>
  <si>
    <t>ALVENARIA DE VEDAÇÃO DE BLOCOS VAZADOS DE CONCRETO DE 14X19X39CM (ESPESSURA 14CM) DE PAREDES COM ÁREA LÍQUIDA MENOR QUE 6M² SEM VÃOS E ARGAMASSA DE ASSENTAMENTO COM PREPARO EM BETONEIRA</t>
  </si>
  <si>
    <t>87449 (SINAPI)</t>
  </si>
  <si>
    <t>CANALETA CONCRETO ESTRUTURAL 14 X 19 X 39 CM</t>
  </si>
  <si>
    <t xml:space="preserve"> UNIDADE : M</t>
  </si>
  <si>
    <t>CORTE E DOBRA DE AÇO CA-50, DIÂMETRO DE 10,0 MM</t>
  </si>
  <si>
    <t>PEDREIRO</t>
  </si>
  <si>
    <t>SERVENTE</t>
  </si>
  <si>
    <t>Composição 19 - CANALETA 14X19X39, COM DOIS FERROS 10MM E CONCRETO</t>
  </si>
  <si>
    <t>CANALETA 14X19X39, COM DOIS FERROS 10MM E CONCRETO</t>
  </si>
  <si>
    <t>73361 (SINAPI)</t>
  </si>
  <si>
    <t>CONCRETO CICLOPICO FCK=10MPA 30% PEDRA DE MAO INCLUSIVE LANCAMENTO</t>
  </si>
  <si>
    <t>90877 (SINAPI)</t>
  </si>
  <si>
    <t>ESTACA ESCAVADA MECANICAMENTE, SEM FLUIDO ESTABILIZANTE, COM 25 CM DE DIÂMETRO, CONCRETO LANÇADO POR CAMINHÃO BETONEIRA</t>
  </si>
  <si>
    <t>REATERRO MECANIZADO DE VALA COM RETROESCAVADEIRA (CAPACIDADE DA CAÇAMBA DA RETRO: 0,26 M³ / POTÊNCIA: 88 HP), LARGURA ATÉ 0,8 M, PROFUNDIDADE ATÉ 1,5 M, COM SOLO (SEM SUBSTITUIÇÃO) DE 1ª CATEGORIA EM LOCAIS COM ALTO NÍVEL DE INTERFERÊNCIA</t>
  </si>
  <si>
    <t>92775 (SINAPI)</t>
  </si>
  <si>
    <t>92778 (SINAPI)</t>
  </si>
  <si>
    <t>ARMAÇÃO UTILIZANDO AÇO CA-60 DE 5,0 MM - MONTAGEM - ESTACA</t>
  </si>
  <si>
    <t>ARMAÇÃO UTILIZANDO AÇO CA-50 DE 10,0 MM - MONTAGEM - ESTACA</t>
  </si>
  <si>
    <t>ARMAÇÃO UTILIZANDO AÇO CA-60 DE 5,0 MM - MONTAGEM - PILARETES</t>
  </si>
  <si>
    <t>ARMAÇÃO UTILIZANDO AÇO CA-50 DE 10,0 MM - MONTAGEM - PILARETES</t>
  </si>
  <si>
    <t>92718 (SINAPI)</t>
  </si>
  <si>
    <t>CONCRETAGEM DE PILARES, FCK = 25 MPA, COM USO DE BALDES - LANÇAMENTO, ADENSAMENTO E ACABAMENTO - PILARETES</t>
  </si>
  <si>
    <t>92412 (SINAPI)</t>
  </si>
  <si>
    <t>MONTAGEM E DESMONTAGEM DE FÔRMA DE PILARES RETANGULARES E ESTRUTURAS SIMILARES COM ÁREA MÉDIA DAS SEÇÕES MENOR OU IGUAL A 0,25 M², PÉ-DIREIT
O SIMPLES, EM MADEIRA SERRADA, 4 UTILIZAÇÕES</t>
  </si>
  <si>
    <t xml:space="preserve">ESCAVAÇÃO MECANIZADA DE VALA COM PROF. ATÉ 1,5 M (MÉDIA ENTRE MONTANTE E JUSANTE/UMA COMPOSIÇÃO POR TRECHO), COM RETROESCAVADEIRA (0,26 M3/88 HP), LARG. DE 0,8 M A 1,5 M, EM SOLO DE 1A CATEGORIA, EM LOCAIS COM  ALTO NÍVEL DE INTERFERÊNCIA </t>
  </si>
  <si>
    <t>COXILHA/RS, 09 DE SETEMBRO DE 2019</t>
  </si>
  <si>
    <t>Obs: foi corrigido os valores conforme variação percentual média que ocorreu nos itens da tabela SINAPI</t>
  </si>
  <si>
    <t>SINAPI/RS EMT. 16/08/2019 - Desonerada</t>
  </si>
  <si>
    <t>COXILHA/RS, 01 DE SETEMBRO DE 2019</t>
  </si>
  <si>
    <t>PASSEIOS PÚBLICOS E ACESSIBILIDADE</t>
  </si>
  <si>
    <t>REGULARIZAÇÃO E COMPACTAÇÃO MANUAL DE TERRENO - PASSEIO</t>
  </si>
  <si>
    <t>94097(SINAPI)</t>
  </si>
  <si>
    <t>LASTRO DE BRITA    Esp = 0,05m</t>
  </si>
  <si>
    <t>94103(SINAPI)</t>
  </si>
  <si>
    <t>EXECUÇÃO DE PASSEIO EM CONCRETO SIMPLES - Esp = 0,06m</t>
  </si>
  <si>
    <t>94991(SINAPI)</t>
  </si>
  <si>
    <t>BLOCO INTERTRAVADO TÁTIL 20 x 10         Esp = 0,06m</t>
  </si>
  <si>
    <t>93679(SINAPI)</t>
  </si>
  <si>
    <t>Composição 17</t>
  </si>
  <si>
    <t>REGISTRO DE GAVETA METÁLICO 50mm</t>
  </si>
  <si>
    <t>COLAR TOMADA PVC, COM TRAVAS, SAIDA COM ROSCA, DE 50 MM X 1/2" OU 50 MM X 3/4", PARA LIGACAO PREDIAL DE AGUA</t>
  </si>
  <si>
    <t>TUBO PVC, SOLDAVEL, DN 25 MM, AGUA FRIA (NBR-5648)</t>
  </si>
  <si>
    <t>9868 (SINAPI-I)</t>
  </si>
  <si>
    <t>1419 (SINAPI-I)</t>
  </si>
  <si>
    <t>6028 (SINAPI-I)</t>
  </si>
  <si>
    <t>ORÇAMENTO GERAL DE OBRA (PO) - LOTE 01</t>
  </si>
  <si>
    <t>OBRA: INFRAESTRUTURA DE REDE PLUVIAL E REDE DE ABASTECIMENTO DE ÁGUA (SUBLOTE 01A); MURO DE CONTENÇÃO E PASSEIO PÚBLICO E ACESSIBILIDADE (SUBLOTE 01B)</t>
  </si>
  <si>
    <t>LOCAL: NÚCLEO HABITACIONAL TEREZA DE OLIVEIRA PACHECO, COXILHA/RS</t>
  </si>
  <si>
    <t>OBRA: INFRAESTRUTURA DE REDE PLUVIAL E REDE DE ABASTECIMENTO DE ÁGUA (SUBLOTE 01A)</t>
  </si>
  <si>
    <t>MÊS 01</t>
  </si>
  <si>
    <t>MÊS 02</t>
  </si>
  <si>
    <t>MÊS 03</t>
  </si>
  <si>
    <t>ILDO JOSÉ ORTH</t>
  </si>
  <si>
    <t>OBRA: MURO DE CONTENÇÃO E PASSEIO PÚBLICO E ACESSIBILIDADE (SUBLOTE 01B)</t>
  </si>
  <si>
    <t>RESPONSÁVEL TÉCNICO PROJETO E ORÇAMENTO: NELSO LUIZ DE OLIVEIRA</t>
  </si>
  <si>
    <t>CRONOGRAMA FISICO-FINANCEIRO - SUBLOTE 01A</t>
  </si>
  <si>
    <t>CRONOGRAMA FISICO-FINANCEIRO - SUBLOTE 01B</t>
  </si>
  <si>
    <t>_______________________</t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</si>
</sst>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#,##0.000_);[Red]\(&quot;R$&quot;#,##0.000\)"/>
    <numFmt numFmtId="185" formatCode="&quot;R$&quot;#,##0.0_);[Red]\(&quot;R$&quot;#,##0.0\)"/>
    <numFmt numFmtId="186" formatCode="0.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_(* #,##0_);_(* \(#,##0\);_(* &quot;-&quot;??_);_(@_)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-[$R$-416]\ * #,##0.00_-;\-[$R$-416]\ * #,##0.00_-;_-[$R$-416]\ * &quot;-&quot;??_-;_-@_-"/>
    <numFmt numFmtId="196" formatCode="[$-416]dddd\,\ d&quot; de &quot;mmmm&quot; de &quot;yyyy"/>
    <numFmt numFmtId="197" formatCode="&quot;R$&quot;\ #,##0.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0.0000000000"/>
    <numFmt numFmtId="204" formatCode="0.00000000000"/>
    <numFmt numFmtId="205" formatCode="0.0000000"/>
    <numFmt numFmtId="206" formatCode="0.000000"/>
    <numFmt numFmtId="207" formatCode="0.0%"/>
    <numFmt numFmtId="208" formatCode="_-&quot;R$&quot;\ * #,##0.000_-;\-&quot;R$&quot;\ * #,##0.000_-;_-&quot;R$&quot;\ * &quot;-&quot;??_-;_-@_-"/>
    <numFmt numFmtId="209" formatCode="_-&quot;R$&quot;\ * #,##0.000_-;\-&quot;R$&quot;\ * #,##0.000_-;_-&quot;R$&quot;\ * &quot;-&quot;???_-;_-@_-"/>
    <numFmt numFmtId="210" formatCode="_-&quot;R$&quot;\ * #,##0.0000_-;\-&quot;R$&quot;\ * #,##0.0000_-;_-&quot;R$&quot;\ * &quot;-&quot;??_-;_-@_-"/>
    <numFmt numFmtId="211" formatCode="_(&quot;R$&quot;* #,##0.000_);_(&quot;R$&quot;* \(#,##0.000\);_(&quot;R$&quot;* &quot;-&quot;??_);_(@_)"/>
    <numFmt numFmtId="212" formatCode="#,##0.000"/>
    <numFmt numFmtId="213" formatCode="_-[$R$-416]\ * #,##0.000_-;\-[$R$-416]\ * #,##0.000_-;_-[$R$-416]\ * &quot;-&quot;??_-;_-@_-"/>
    <numFmt numFmtId="214" formatCode="_-[$R$-416]\ * #,##0.0000_-;\-[$R$-416]\ * #,##0.0000_-;_-[$R$-416]\ * &quot;-&quot;??_-;_-@_-"/>
    <numFmt numFmtId="215" formatCode="_-[$R$-416]\ * #,##0.00000_-;\-[$R$-416]\ * #,##0.00000_-;_-[$R$-416]\ * &quot;-&quot;??_-;_-@_-"/>
    <numFmt numFmtId="216" formatCode="_(&quot;R$&quot;* #,##0.0000_);_(&quot;R$&quot;* \(#,##0.0000\);_(&quot;R$&quot;* &quot;-&quot;??_);_(@_)"/>
    <numFmt numFmtId="217" formatCode="_(&quot;R$&quot;* #,##0.00000_);_(&quot;R$&quot;* \(#,##0.00000\);_(&quot;R$&quot;* &quot;-&quot;??_);_(@_)"/>
    <numFmt numFmtId="218" formatCode="_(&quot;R$&quot;* #,##0.000000_);_(&quot;R$&quot;* \(#,##0.000000\);_(&quot;R$&quot;* &quot;-&quot;??_);_(@_)"/>
    <numFmt numFmtId="219" formatCode="_(&quot;R$&quot;* #,##0.0000000_);_(&quot;R$&quot;* \(#,##0.0000000\);_(&quot;R$&quot;* &quot;-&quot;??_);_(@_)"/>
    <numFmt numFmtId="220" formatCode="_(* #,##0.0000_);_(* \(#,##0.0000\);_(* &quot;-&quot;????_);_(@_)"/>
    <numFmt numFmtId="221" formatCode="_-&quot;R$&quot;\ * #,##0.00000_-;\-&quot;R$&quot;\ * #,##0.00000_-;_-&quot;R$&quot;\ * &quot;-&quot;??_-;_-@_-"/>
    <numFmt numFmtId="222" formatCode="#,##0.00;[Red]#,##0.00"/>
    <numFmt numFmtId="223" formatCode="&quot;R$ &quot;#,##0.00"/>
  </numFmts>
  <fonts count="45">
    <font>
      <sz val="10"/>
      <name val="Arial"/>
      <family val="0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33" borderId="0" xfId="53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/>
    </xf>
    <xf numFmtId="2" fontId="1" fillId="0" borderId="0" xfId="53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1" fontId="3" fillId="0" borderId="14" xfId="53" applyFont="1" applyFill="1" applyBorder="1" applyAlignment="1">
      <alignment horizontal="center" vertical="center"/>
    </xf>
    <xf numFmtId="195" fontId="3" fillId="34" borderId="15" xfId="53" applyNumberFormat="1" applyFont="1" applyFill="1" applyBorder="1" applyAlignment="1">
      <alignment horizontal="right" vertical="center"/>
    </xf>
    <xf numFmtId="183" fontId="3" fillId="0" borderId="0" xfId="46" applyFont="1" applyAlignment="1">
      <alignment/>
    </xf>
    <xf numFmtId="0" fontId="3" fillId="34" borderId="13" xfId="53" applyNumberFormat="1" applyFont="1" applyFill="1" applyBorder="1" applyAlignment="1">
      <alignment horizontal="center" vertical="center"/>
    </xf>
    <xf numFmtId="171" fontId="3" fillId="0" borderId="16" xfId="5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53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4" fontId="3" fillId="0" borderId="14" xfId="53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3" fillId="0" borderId="0" xfId="53" applyNumberFormat="1" applyFont="1" applyFill="1" applyBorder="1" applyAlignment="1">
      <alignment vertical="center"/>
    </xf>
    <xf numFmtId="44" fontId="2" fillId="0" borderId="0" xfId="53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83" fontId="3" fillId="0" borderId="14" xfId="46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44" fontId="3" fillId="0" borderId="14" xfId="53" applyNumberFormat="1" applyFont="1" applyFill="1" applyBorder="1" applyAlignment="1">
      <alignment vertical="center"/>
    </xf>
    <xf numFmtId="44" fontId="3" fillId="0" borderId="14" xfId="53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2" fontId="3" fillId="0" borderId="14" xfId="53" applyNumberFormat="1" applyFont="1" applyFill="1" applyBorder="1" applyAlignment="1">
      <alignment horizontal="center" vertical="center"/>
    </xf>
    <xf numFmtId="183" fontId="3" fillId="0" borderId="17" xfId="46" applyFont="1" applyFill="1" applyBorder="1" applyAlignment="1">
      <alignment horizontal="center" vertical="center"/>
    </xf>
    <xf numFmtId="200" fontId="3" fillId="0" borderId="14" xfId="53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3" fillId="0" borderId="18" xfId="53" applyNumberFormat="1" applyFont="1" applyFill="1" applyBorder="1" applyAlignment="1">
      <alignment horizontal="center" vertical="center"/>
    </xf>
    <xf numFmtId="171" fontId="3" fillId="0" borderId="18" xfId="53" applyFont="1" applyFill="1" applyBorder="1" applyAlignment="1">
      <alignment horizontal="center" vertical="center"/>
    </xf>
    <xf numFmtId="171" fontId="3" fillId="0" borderId="19" xfId="53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3" fontId="3" fillId="0" borderId="16" xfId="46" applyFont="1" applyFill="1" applyBorder="1" applyAlignment="1">
      <alignment horizontal="center" vertical="center"/>
    </xf>
    <xf numFmtId="222" fontId="3" fillId="0" borderId="0" xfId="0" applyNumberFormat="1" applyFont="1" applyFill="1" applyBorder="1" applyAlignment="1">
      <alignment vertical="center"/>
    </xf>
    <xf numFmtId="8" fontId="3" fillId="0" borderId="10" xfId="0" applyNumberFormat="1" applyFont="1" applyFill="1" applyBorder="1" applyAlignment="1">
      <alignment vertical="center"/>
    </xf>
    <xf numFmtId="44" fontId="3" fillId="0" borderId="15" xfId="53" applyNumberFormat="1" applyFont="1" applyFill="1" applyBorder="1" applyAlignment="1">
      <alignment horizontal="right" vertical="center"/>
    </xf>
    <xf numFmtId="44" fontId="2" fillId="0" borderId="10" xfId="53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4" xfId="0" applyFont="1" applyFill="1" applyBorder="1" applyAlignment="1">
      <alignment vertical="center"/>
    </xf>
    <xf numFmtId="195" fontId="3" fillId="0" borderId="14" xfId="46" applyNumberFormat="1" applyFont="1" applyBorder="1" applyAlignment="1">
      <alignment horizontal="center" vertical="center"/>
    </xf>
    <xf numFmtId="10" fontId="3" fillId="0" borderId="14" xfId="53" applyNumberFormat="1" applyFont="1" applyFill="1" applyBorder="1" applyAlignment="1">
      <alignment horizontal="center" vertical="center"/>
    </xf>
    <xf numFmtId="183" fontId="3" fillId="0" borderId="14" xfId="46" applyFont="1" applyBorder="1" applyAlignment="1">
      <alignment horizontal="center" vertical="center"/>
    </xf>
    <xf numFmtId="44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3" fontId="2" fillId="0" borderId="14" xfId="46" applyFont="1" applyBorder="1" applyAlignment="1">
      <alignment horizontal="center" vertical="center"/>
    </xf>
    <xf numFmtId="10" fontId="2" fillId="0" borderId="14" xfId="53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4" fontId="3" fillId="35" borderId="24" xfId="53" applyNumberFormat="1" applyFont="1" applyFill="1" applyBorder="1" applyAlignment="1">
      <alignment horizontal="center" vertical="center"/>
    </xf>
    <xf numFmtId="171" fontId="3" fillId="35" borderId="24" xfId="53" applyFont="1" applyFill="1" applyBorder="1" applyAlignment="1">
      <alignment horizontal="center" vertical="center"/>
    </xf>
    <xf numFmtId="44" fontId="3" fillId="35" borderId="24" xfId="53" applyNumberFormat="1" applyFont="1" applyFill="1" applyBorder="1" applyAlignment="1">
      <alignment horizontal="right" vertical="center"/>
    </xf>
    <xf numFmtId="44" fontId="2" fillId="35" borderId="24" xfId="53" applyNumberFormat="1" applyFont="1" applyFill="1" applyBorder="1" applyAlignment="1">
      <alignment horizontal="right" vertical="center"/>
    </xf>
    <xf numFmtId="44" fontId="2" fillId="35" borderId="12" xfId="53" applyNumberFormat="1" applyFont="1" applyFill="1" applyBorder="1" applyAlignment="1">
      <alignment horizontal="right" vertical="center"/>
    </xf>
    <xf numFmtId="171" fontId="3" fillId="35" borderId="24" xfId="53" applyFont="1" applyFill="1" applyBorder="1" applyAlignment="1">
      <alignment vertical="center"/>
    </xf>
    <xf numFmtId="44" fontId="3" fillId="35" borderId="24" xfId="53" applyNumberFormat="1" applyFont="1" applyFill="1" applyBorder="1" applyAlignment="1">
      <alignment vertical="center"/>
    </xf>
    <xf numFmtId="4" fontId="3" fillId="35" borderId="0" xfId="0" applyNumberFormat="1" applyFont="1" applyFill="1" applyAlignment="1">
      <alignment vertical="center"/>
    </xf>
    <xf numFmtId="0" fontId="3" fillId="35" borderId="25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171" fontId="3" fillId="35" borderId="21" xfId="53" applyFont="1" applyFill="1" applyBorder="1" applyAlignment="1">
      <alignment vertical="center"/>
    </xf>
    <xf numFmtId="44" fontId="3" fillId="35" borderId="21" xfId="53" applyNumberFormat="1" applyFont="1" applyFill="1" applyBorder="1" applyAlignment="1">
      <alignment vertical="center"/>
    </xf>
    <xf numFmtId="44" fontId="2" fillId="35" borderId="21" xfId="53" applyNumberFormat="1" applyFont="1" applyFill="1" applyBorder="1" applyAlignment="1">
      <alignment vertical="center"/>
    </xf>
    <xf numFmtId="44" fontId="2" fillId="35" borderId="26" xfId="53" applyNumberFormat="1" applyFont="1" applyFill="1" applyBorder="1" applyAlignment="1">
      <alignment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200" fontId="3" fillId="0" borderId="18" xfId="53" applyNumberFormat="1" applyFont="1" applyFill="1" applyBorder="1" applyAlignment="1">
      <alignment horizontal="center" vertical="center"/>
    </xf>
    <xf numFmtId="200" fontId="3" fillId="0" borderId="16" xfId="53" applyNumberFormat="1" applyFont="1" applyFill="1" applyBorder="1" applyAlignment="1">
      <alignment horizontal="center" vertical="center"/>
    </xf>
    <xf numFmtId="183" fontId="3" fillId="0" borderId="27" xfId="46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1" fontId="3" fillId="0" borderId="21" xfId="53" applyFont="1" applyFill="1" applyBorder="1" applyAlignment="1">
      <alignment horizontal="center" vertical="center"/>
    </xf>
    <xf numFmtId="183" fontId="3" fillId="0" borderId="21" xfId="46" applyFont="1" applyFill="1" applyBorder="1" applyAlignment="1">
      <alignment horizontal="center" vertical="center"/>
    </xf>
    <xf numFmtId="183" fontId="2" fillId="0" borderId="21" xfId="46" applyFont="1" applyFill="1" applyBorder="1" applyAlignment="1">
      <alignment horizontal="center" vertical="center"/>
    </xf>
    <xf numFmtId="183" fontId="2" fillId="0" borderId="26" xfId="46" applyNumberFormat="1" applyFont="1" applyFill="1" applyBorder="1" applyAlignment="1">
      <alignment horizontal="center" vertical="center"/>
    </xf>
    <xf numFmtId="0" fontId="3" fillId="34" borderId="28" xfId="53" applyNumberFormat="1" applyFont="1" applyFill="1" applyBorder="1" applyAlignment="1">
      <alignment horizontal="center" vertical="center"/>
    </xf>
    <xf numFmtId="195" fontId="3" fillId="34" borderId="29" xfId="53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34" borderId="11" xfId="53" applyNumberFormat="1" applyFont="1" applyFill="1" applyBorder="1" applyAlignment="1">
      <alignment horizontal="center" vertical="center"/>
    </xf>
    <xf numFmtId="195" fontId="3" fillId="34" borderId="12" xfId="53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195" fontId="3" fillId="34" borderId="31" xfId="53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wrapText="1"/>
    </xf>
    <xf numFmtId="44" fontId="3" fillId="0" borderId="14" xfId="53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199" fontId="3" fillId="0" borderId="0" xfId="0" applyNumberFormat="1" applyFont="1" applyAlignment="1">
      <alignment horizontal="center" vertical="center"/>
    </xf>
    <xf numFmtId="0" fontId="2" fillId="35" borderId="32" xfId="0" applyFont="1" applyFill="1" applyBorder="1" applyAlignment="1">
      <alignment horizontal="center" vertical="center" wrapText="1"/>
    </xf>
    <xf numFmtId="4" fontId="3" fillId="0" borderId="18" xfId="53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183" fontId="3" fillId="0" borderId="0" xfId="46" applyFont="1" applyFill="1" applyBorder="1" applyAlignment="1">
      <alignment horizontal="center" vertical="center"/>
    </xf>
    <xf numFmtId="183" fontId="2" fillId="0" borderId="0" xfId="46" applyFont="1" applyFill="1" applyBorder="1" applyAlignment="1">
      <alignment horizontal="center" vertical="center"/>
    </xf>
    <xf numFmtId="183" fontId="2" fillId="0" borderId="0" xfId="46" applyNumberFormat="1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/>
    </xf>
    <xf numFmtId="0" fontId="3" fillId="0" borderId="0" xfId="53" applyNumberFormat="1" applyFont="1" applyFill="1" applyBorder="1" applyAlignment="1">
      <alignment horizontal="center" vertical="center"/>
    </xf>
    <xf numFmtId="195" fontId="3" fillId="0" borderId="0" xfId="53" applyNumberFormat="1" applyFont="1" applyFill="1" applyBorder="1" applyAlignment="1">
      <alignment horizontal="right" vertical="center"/>
    </xf>
    <xf numFmtId="44" fontId="3" fillId="0" borderId="0" xfId="0" applyNumberFormat="1" applyFont="1" applyFill="1" applyBorder="1" applyAlignment="1">
      <alignment/>
    </xf>
    <xf numFmtId="183" fontId="3" fillId="0" borderId="0" xfId="46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top" wrapText="1"/>
    </xf>
    <xf numFmtId="4" fontId="3" fillId="0" borderId="24" xfId="53" applyNumberFormat="1" applyFont="1" applyFill="1" applyBorder="1" applyAlignment="1">
      <alignment horizontal="center" vertical="center"/>
    </xf>
    <xf numFmtId="171" fontId="3" fillId="0" borderId="24" xfId="53" applyFont="1" applyFill="1" applyBorder="1" applyAlignment="1">
      <alignment horizontal="center" vertical="center"/>
    </xf>
    <xf numFmtId="44" fontId="3" fillId="0" borderId="18" xfId="53" applyNumberFormat="1" applyFont="1" applyFill="1" applyBorder="1" applyAlignment="1">
      <alignment horizontal="center" vertical="center"/>
    </xf>
    <xf numFmtId="44" fontId="3" fillId="0" borderId="29" xfId="53" applyNumberFormat="1" applyFont="1" applyFill="1" applyBorder="1" applyAlignment="1">
      <alignment horizontal="center" vertical="center"/>
    </xf>
    <xf numFmtId="44" fontId="3" fillId="0" borderId="24" xfId="53" applyNumberFormat="1" applyFont="1" applyFill="1" applyBorder="1" applyAlignment="1">
      <alignment horizontal="center" vertical="center"/>
    </xf>
    <xf numFmtId="44" fontId="3" fillId="0" borderId="33" xfId="53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43" fontId="4" fillId="35" borderId="14" xfId="0" applyNumberFormat="1" applyFont="1" applyFill="1" applyBorder="1" applyAlignment="1">
      <alignment horizontal="right" vertical="center"/>
    </xf>
    <xf numFmtId="43" fontId="4" fillId="35" borderId="15" xfId="0" applyNumberFormat="1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43" fontId="44" fillId="0" borderId="14" xfId="0" applyNumberFormat="1" applyFont="1" applyBorder="1" applyAlignment="1">
      <alignment vertical="center"/>
    </xf>
    <xf numFmtId="43" fontId="44" fillId="0" borderId="15" xfId="0" applyNumberFormat="1" applyFont="1" applyBorder="1" applyAlignment="1">
      <alignment vertical="center"/>
    </xf>
    <xf numFmtId="43" fontId="4" fillId="35" borderId="14" xfId="0" applyNumberFormat="1" applyFont="1" applyFill="1" applyBorder="1" applyAlignment="1">
      <alignment vertical="center"/>
    </xf>
    <xf numFmtId="43" fontId="4" fillId="35" borderId="15" xfId="0" applyNumberFormat="1" applyFont="1" applyFill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43" fontId="44" fillId="0" borderId="14" xfId="0" applyNumberFormat="1" applyFont="1" applyBorder="1" applyAlignment="1">
      <alignment horizontal="right" vertical="center"/>
    </xf>
    <xf numFmtId="43" fontId="44" fillId="35" borderId="14" xfId="0" applyNumberFormat="1" applyFont="1" applyFill="1" applyBorder="1" applyAlignment="1">
      <alignment vertical="center"/>
    </xf>
    <xf numFmtId="0" fontId="44" fillId="37" borderId="11" xfId="0" applyFont="1" applyFill="1" applyBorder="1" applyAlignment="1">
      <alignment horizontal="right" vertical="center"/>
    </xf>
    <xf numFmtId="0" fontId="4" fillId="37" borderId="24" xfId="0" applyFont="1" applyFill="1" applyBorder="1" applyAlignment="1">
      <alignment vertical="center"/>
    </xf>
    <xf numFmtId="2" fontId="4" fillId="37" borderId="24" xfId="0" applyNumberFormat="1" applyFont="1" applyFill="1" applyBorder="1" applyAlignment="1">
      <alignment vertical="center"/>
    </xf>
    <xf numFmtId="2" fontId="4" fillId="37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3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95" fontId="3" fillId="0" borderId="0" xfId="46" applyNumberFormat="1" applyFont="1" applyFill="1" applyBorder="1" applyAlignment="1">
      <alignment horizontal="center" vertical="center"/>
    </xf>
    <xf numFmtId="10" fontId="3" fillId="0" borderId="0" xfId="53" applyNumberFormat="1" applyFont="1" applyFill="1" applyBorder="1" applyAlignment="1">
      <alignment horizontal="center" vertical="center"/>
    </xf>
    <xf numFmtId="10" fontId="2" fillId="0" borderId="0" xfId="53" applyNumberFormat="1" applyFont="1" applyFill="1" applyBorder="1" applyAlignment="1">
      <alignment horizontal="center" vertical="center"/>
    </xf>
    <xf numFmtId="183" fontId="2" fillId="0" borderId="0" xfId="46" applyFont="1" applyFill="1" applyBorder="1" applyAlignment="1">
      <alignment vertical="center"/>
    </xf>
    <xf numFmtId="10" fontId="2" fillId="0" borderId="0" xfId="53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wrapText="1"/>
    </xf>
    <xf numFmtId="0" fontId="3" fillId="34" borderId="44" xfId="53" applyNumberFormat="1" applyFont="1" applyFill="1" applyBorder="1" applyAlignment="1">
      <alignment horizontal="center" vertical="center"/>
    </xf>
    <xf numFmtId="0" fontId="3" fillId="34" borderId="14" xfId="5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4" fontId="3" fillId="0" borderId="0" xfId="53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86" fontId="2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4" fontId="3" fillId="0" borderId="16" xfId="53" applyNumberFormat="1" applyFont="1" applyFill="1" applyBorder="1" applyAlignment="1">
      <alignment horizontal="center" vertical="center"/>
    </xf>
    <xf numFmtId="44" fontId="3" fillId="0" borderId="16" xfId="53" applyNumberFormat="1" applyFont="1" applyFill="1" applyBorder="1" applyAlignment="1">
      <alignment vertical="center"/>
    </xf>
    <xf numFmtId="44" fontId="3" fillId="0" borderId="16" xfId="53" applyNumberFormat="1" applyFont="1" applyFill="1" applyBorder="1" applyAlignment="1">
      <alignment horizontal="right" vertical="center"/>
    </xf>
    <xf numFmtId="44" fontId="3" fillId="0" borderId="31" xfId="53" applyNumberFormat="1" applyFont="1" applyFill="1" applyBorder="1" applyAlignment="1">
      <alignment horizontal="right" vertical="center"/>
    </xf>
    <xf numFmtId="0" fontId="3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4" fontId="3" fillId="35" borderId="46" xfId="53" applyNumberFormat="1" applyFont="1" applyFill="1" applyBorder="1" applyAlignment="1">
      <alignment horizontal="center" vertical="center"/>
    </xf>
    <xf numFmtId="171" fontId="3" fillId="35" borderId="46" xfId="53" applyFont="1" applyFill="1" applyBorder="1" applyAlignment="1">
      <alignment horizontal="center" vertical="center"/>
    </xf>
    <xf numFmtId="44" fontId="3" fillId="35" borderId="46" xfId="53" applyNumberFormat="1" applyFont="1" applyFill="1" applyBorder="1" applyAlignment="1">
      <alignment horizontal="right" vertical="center"/>
    </xf>
    <xf numFmtId="44" fontId="2" fillId="35" borderId="46" xfId="53" applyNumberFormat="1" applyFont="1" applyFill="1" applyBorder="1" applyAlignment="1">
      <alignment horizontal="right" vertical="center"/>
    </xf>
    <xf numFmtId="44" fontId="2" fillId="35" borderId="33" xfId="53" applyNumberFormat="1" applyFont="1" applyFill="1" applyBorder="1" applyAlignment="1">
      <alignment horizontal="right" vertical="center"/>
    </xf>
    <xf numFmtId="4" fontId="3" fillId="35" borderId="0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44" fontId="3" fillId="35" borderId="16" xfId="53" applyNumberFormat="1" applyFont="1" applyFill="1" applyBorder="1" applyAlignment="1">
      <alignment horizontal="right" vertical="center"/>
    </xf>
    <xf numFmtId="44" fontId="2" fillId="35" borderId="16" xfId="53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8" fontId="3" fillId="0" borderId="0" xfId="0" applyNumberFormat="1" applyFont="1" applyFill="1" applyBorder="1" applyAlignment="1">
      <alignment horizontal="center" vertical="center"/>
    </xf>
    <xf numFmtId="186" fontId="2" fillId="35" borderId="48" xfId="0" applyNumberFormat="1" applyFont="1" applyFill="1" applyBorder="1" applyAlignment="1">
      <alignment horizontal="center" vertical="center"/>
    </xf>
    <xf numFmtId="11" fontId="2" fillId="35" borderId="49" xfId="0" applyNumberFormat="1" applyFont="1" applyFill="1" applyBorder="1" applyAlignment="1">
      <alignment vertical="center"/>
    </xf>
    <xf numFmtId="4" fontId="3" fillId="35" borderId="49" xfId="53" applyNumberFormat="1" applyFont="1" applyFill="1" applyBorder="1" applyAlignment="1">
      <alignment horizontal="center" vertical="center"/>
    </xf>
    <xf numFmtId="171" fontId="3" fillId="35" borderId="49" xfId="53" applyFont="1" applyFill="1" applyBorder="1" applyAlignment="1">
      <alignment vertical="center"/>
    </xf>
    <xf numFmtId="171" fontId="3" fillId="35" borderId="49" xfId="53" applyFont="1" applyFill="1" applyBorder="1" applyAlignment="1">
      <alignment horizontal="right" vertical="center"/>
    </xf>
    <xf numFmtId="171" fontId="3" fillId="35" borderId="50" xfId="53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top" wrapText="1"/>
    </xf>
    <xf numFmtId="4" fontId="3" fillId="0" borderId="52" xfId="53" applyNumberFormat="1" applyFont="1" applyFill="1" applyBorder="1" applyAlignment="1">
      <alignment horizontal="center" vertical="center"/>
    </xf>
    <xf numFmtId="171" fontId="3" fillId="0" borderId="52" xfId="53" applyFont="1" applyFill="1" applyBorder="1" applyAlignment="1">
      <alignment horizontal="center" vertical="center"/>
    </xf>
    <xf numFmtId="44" fontId="3" fillId="0" borderId="52" xfId="53" applyNumberFormat="1" applyFont="1" applyFill="1" applyBorder="1" applyAlignment="1">
      <alignment horizontal="right" vertical="center"/>
    </xf>
    <xf numFmtId="44" fontId="3" fillId="0" borderId="53" xfId="53" applyNumberFormat="1" applyFont="1" applyFill="1" applyBorder="1" applyAlignment="1">
      <alignment horizontal="right" vertical="center"/>
    </xf>
    <xf numFmtId="183" fontId="3" fillId="0" borderId="13" xfId="46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83" fontId="3" fillId="0" borderId="13" xfId="46" applyNumberFormat="1" applyFont="1" applyFill="1" applyBorder="1" applyAlignment="1">
      <alignment horizontal="center" vertical="center"/>
    </xf>
    <xf numFmtId="183" fontId="3" fillId="0" borderId="11" xfId="46" applyFont="1" applyFill="1" applyBorder="1" applyAlignment="1">
      <alignment horizontal="center" vertical="center"/>
    </xf>
    <xf numFmtId="183" fontId="3" fillId="0" borderId="24" xfId="46" applyFont="1" applyFill="1" applyBorder="1" applyAlignment="1">
      <alignment horizontal="center" vertical="center"/>
    </xf>
    <xf numFmtId="44" fontId="3" fillId="0" borderId="18" xfId="53" applyNumberFormat="1" applyFont="1" applyFill="1" applyBorder="1" applyAlignment="1">
      <alignment vertical="center"/>
    </xf>
    <xf numFmtId="44" fontId="3" fillId="0" borderId="18" xfId="53" applyNumberFormat="1" applyFont="1" applyFill="1" applyBorder="1" applyAlignment="1">
      <alignment horizontal="right" vertical="center"/>
    </xf>
    <xf numFmtId="44" fontId="3" fillId="0" borderId="29" xfId="53" applyNumberFormat="1" applyFont="1" applyFill="1" applyBorder="1" applyAlignment="1">
      <alignment horizontal="right" vertical="center"/>
    </xf>
    <xf numFmtId="186" fontId="2" fillId="35" borderId="25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vertical="center"/>
    </xf>
    <xf numFmtId="4" fontId="3" fillId="35" borderId="21" xfId="53" applyNumberFormat="1" applyFont="1" applyFill="1" applyBorder="1" applyAlignment="1">
      <alignment horizontal="center" vertical="center"/>
    </xf>
    <xf numFmtId="171" fontId="3" fillId="35" borderId="21" xfId="53" applyFont="1" applyFill="1" applyBorder="1" applyAlignment="1">
      <alignment horizontal="right" vertical="center"/>
    </xf>
    <xf numFmtId="171" fontId="3" fillId="35" borderId="26" xfId="53" applyFont="1" applyFill="1" applyBorder="1" applyAlignment="1">
      <alignment horizontal="right" vertical="center"/>
    </xf>
    <xf numFmtId="44" fontId="3" fillId="0" borderId="52" xfId="53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4" fontId="3" fillId="35" borderId="45" xfId="0" applyNumberFormat="1" applyFont="1" applyFill="1" applyBorder="1" applyAlignment="1">
      <alignment vertical="center"/>
    </xf>
    <xf numFmtId="4" fontId="3" fillId="35" borderId="46" xfId="0" applyNumberFormat="1" applyFont="1" applyFill="1" applyBorder="1" applyAlignment="1">
      <alignment vertical="center"/>
    </xf>
    <xf numFmtId="0" fontId="3" fillId="35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3" fontId="3" fillId="0" borderId="28" xfId="46" applyFont="1" applyFill="1" applyBorder="1" applyAlignment="1">
      <alignment horizontal="center" vertical="center"/>
    </xf>
    <xf numFmtId="183" fontId="3" fillId="0" borderId="18" xfId="46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4" fontId="3" fillId="35" borderId="25" xfId="0" applyNumberFormat="1" applyFont="1" applyFill="1" applyBorder="1" applyAlignment="1">
      <alignment vertical="center"/>
    </xf>
    <xf numFmtId="4" fontId="3" fillId="35" borderId="21" xfId="0" applyNumberFormat="1" applyFont="1" applyFill="1" applyBorder="1" applyAlignment="1">
      <alignment vertical="center"/>
    </xf>
    <xf numFmtId="0" fontId="3" fillId="35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83" fontId="3" fillId="0" borderId="20" xfId="46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vertical="center"/>
    </xf>
    <xf numFmtId="4" fontId="3" fillId="35" borderId="24" xfId="0" applyNumberFormat="1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183" fontId="3" fillId="0" borderId="54" xfId="46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" fontId="3" fillId="35" borderId="55" xfId="0" applyNumberFormat="1" applyFont="1" applyFill="1" applyBorder="1" applyAlignment="1">
      <alignment vertical="center"/>
    </xf>
    <xf numFmtId="0" fontId="2" fillId="35" borderId="16" xfId="0" applyFont="1" applyFill="1" applyBorder="1" applyAlignment="1">
      <alignment horizontal="center" vertical="center"/>
    </xf>
    <xf numFmtId="4" fontId="3" fillId="35" borderId="16" xfId="53" applyNumberFormat="1" applyFont="1" applyFill="1" applyBorder="1" applyAlignment="1">
      <alignment horizontal="center" vertical="center"/>
    </xf>
    <xf numFmtId="171" fontId="3" fillId="35" borderId="16" xfId="53" applyFont="1" applyFill="1" applyBorder="1" applyAlignment="1">
      <alignment horizontal="center" vertical="center"/>
    </xf>
    <xf numFmtId="44" fontId="2" fillId="35" borderId="31" xfId="53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top" wrapText="1"/>
    </xf>
    <xf numFmtId="4" fontId="3" fillId="0" borderId="19" xfId="53" applyNumberFormat="1" applyFont="1" applyFill="1" applyBorder="1" applyAlignment="1">
      <alignment horizontal="center" vertical="center"/>
    </xf>
    <xf numFmtId="44" fontId="3" fillId="0" borderId="19" xfId="53" applyNumberFormat="1" applyFont="1" applyFill="1" applyBorder="1" applyAlignment="1">
      <alignment vertical="center"/>
    </xf>
    <xf numFmtId="44" fontId="3" fillId="0" borderId="19" xfId="53" applyNumberFormat="1" applyFont="1" applyFill="1" applyBorder="1" applyAlignment="1">
      <alignment horizontal="right" vertical="center"/>
    </xf>
    <xf numFmtId="44" fontId="3" fillId="0" borderId="56" xfId="53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top" wrapText="1"/>
    </xf>
    <xf numFmtId="4" fontId="3" fillId="0" borderId="49" xfId="53" applyNumberFormat="1" applyFont="1" applyFill="1" applyBorder="1" applyAlignment="1">
      <alignment horizontal="center" vertical="center"/>
    </xf>
    <xf numFmtId="171" fontId="3" fillId="0" borderId="49" xfId="53" applyFont="1" applyFill="1" applyBorder="1" applyAlignment="1">
      <alignment horizontal="center" vertical="center"/>
    </xf>
    <xf numFmtId="44" fontId="3" fillId="0" borderId="49" xfId="53" applyNumberFormat="1" applyFont="1" applyFill="1" applyBorder="1" applyAlignment="1">
      <alignment vertical="center"/>
    </xf>
    <xf numFmtId="44" fontId="3" fillId="0" borderId="49" xfId="53" applyNumberFormat="1" applyFont="1" applyFill="1" applyBorder="1" applyAlignment="1">
      <alignment horizontal="right" vertical="center"/>
    </xf>
    <xf numFmtId="44" fontId="3" fillId="0" borderId="50" xfId="53" applyNumberFormat="1" applyFont="1" applyFill="1" applyBorder="1" applyAlignment="1">
      <alignment horizontal="right" vertical="center"/>
    </xf>
    <xf numFmtId="44" fontId="2" fillId="35" borderId="11" xfId="53" applyNumberFormat="1" applyFont="1" applyFill="1" applyBorder="1" applyAlignment="1">
      <alignment horizontal="right" vertical="center"/>
    </xf>
    <xf numFmtId="183" fontId="3" fillId="0" borderId="51" xfId="46" applyFont="1" applyFill="1" applyBorder="1" applyAlignment="1">
      <alignment horizontal="center" vertical="center"/>
    </xf>
    <xf numFmtId="183" fontId="3" fillId="0" borderId="52" xfId="46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4" fontId="3" fillId="35" borderId="57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0" fontId="3" fillId="35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35" borderId="51" xfId="0" applyFont="1" applyFill="1" applyBorder="1" applyAlignment="1">
      <alignment horizontal="center"/>
    </xf>
    <xf numFmtId="0" fontId="6" fillId="35" borderId="52" xfId="0" applyFont="1" applyFill="1" applyBorder="1" applyAlignment="1">
      <alignment horizontal="center"/>
    </xf>
    <xf numFmtId="0" fontId="6" fillId="35" borderId="53" xfId="0" applyFont="1" applyFill="1" applyBorder="1" applyAlignment="1">
      <alignment horizontal="center"/>
    </xf>
    <xf numFmtId="0" fontId="2" fillId="35" borderId="58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3" fillId="0" borderId="61" xfId="0" applyFont="1" applyBorder="1" applyAlignment="1">
      <alignment horizontal="center"/>
    </xf>
    <xf numFmtId="8" fontId="3" fillId="0" borderId="61" xfId="0" applyNumberFormat="1" applyFont="1" applyFill="1" applyBorder="1" applyAlignment="1">
      <alignment horizontal="center" vertical="center"/>
    </xf>
    <xf numFmtId="8" fontId="3" fillId="0" borderId="0" xfId="0" applyNumberFormat="1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29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24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8" borderId="41" xfId="0" applyFont="1" applyFill="1" applyBorder="1" applyAlignment="1">
      <alignment horizontal="center"/>
    </xf>
    <xf numFmtId="0" fontId="2" fillId="38" borderId="42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83" fontId="2" fillId="0" borderId="14" xfId="46" applyFont="1" applyBorder="1" applyAlignment="1">
      <alignment horizontal="center" vertical="center"/>
    </xf>
    <xf numFmtId="10" fontId="2" fillId="0" borderId="14" xfId="53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35" borderId="66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54" xfId="0" applyFont="1" applyFill="1" applyBorder="1" applyAlignment="1">
      <alignment horizontal="left" vertical="center"/>
    </xf>
    <xf numFmtId="0" fontId="2" fillId="35" borderId="67" xfId="0" applyFont="1" applyFill="1" applyBorder="1" applyAlignment="1">
      <alignment horizontal="left" vertical="center"/>
    </xf>
    <xf numFmtId="0" fontId="2" fillId="35" borderId="65" xfId="0" applyFont="1" applyFill="1" applyBorder="1" applyAlignment="1">
      <alignment horizontal="left" vertical="center"/>
    </xf>
    <xf numFmtId="0" fontId="2" fillId="35" borderId="47" xfId="0" applyFont="1" applyFill="1" applyBorder="1" applyAlignment="1">
      <alignment horizontal="left" vertical="center"/>
    </xf>
    <xf numFmtId="0" fontId="2" fillId="35" borderId="68" xfId="0" applyFont="1" applyFill="1" applyBorder="1" applyAlignment="1">
      <alignment horizontal="left" vertical="center"/>
    </xf>
    <xf numFmtId="0" fontId="2" fillId="35" borderId="61" xfId="0" applyFont="1" applyFill="1" applyBorder="1" applyAlignment="1">
      <alignment horizontal="left" vertical="center"/>
    </xf>
    <xf numFmtId="0" fontId="2" fillId="35" borderId="44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6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2" fillId="35" borderId="69" xfId="0" applyFont="1" applyFill="1" applyBorder="1" applyAlignment="1">
      <alignment horizontal="center" vertical="center"/>
    </xf>
    <xf numFmtId="2" fontId="2" fillId="35" borderId="58" xfId="0" applyNumberFormat="1" applyFont="1" applyFill="1" applyBorder="1" applyAlignment="1">
      <alignment horizontal="center" vertical="center"/>
    </xf>
    <xf numFmtId="2" fontId="2" fillId="35" borderId="69" xfId="0" applyNumberFormat="1" applyFont="1" applyFill="1" applyBorder="1" applyAlignment="1">
      <alignment horizontal="center" vertical="center"/>
    </xf>
    <xf numFmtId="2" fontId="2" fillId="35" borderId="59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24</xdr:row>
      <xdr:rowOff>85725</xdr:rowOff>
    </xdr:from>
    <xdr:to>
      <xdr:col>4</xdr:col>
      <xdr:colOff>504825</xdr:colOff>
      <xdr:row>27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695825"/>
          <a:ext cx="3162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Or&#231;amento\PLANILHA%20F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sheetId="2" refersTo="=PO!$X1"/>
    </definedNames>
    <sheetDataSet>
      <sheetData sheetId="0">
        <row r="38">
          <cell r="A38">
            <v>43221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showGridLines="0" view="pageBreakPreview" zoomScaleSheetLayoutView="100" zoomScalePageLayoutView="0" workbookViewId="0" topLeftCell="A1">
      <selection activeCell="M68" sqref="M68"/>
    </sheetView>
  </sheetViews>
  <sheetFormatPr defaultColWidth="9.140625" defaultRowHeight="12.75"/>
  <cols>
    <col min="1" max="1" width="9.57421875" style="1" customWidth="1"/>
    <col min="2" max="2" width="39.421875" style="1" customWidth="1"/>
    <col min="3" max="3" width="7.8515625" style="1" bestFit="1" customWidth="1"/>
    <col min="4" max="4" width="6.140625" style="1" bestFit="1" customWidth="1"/>
    <col min="5" max="5" width="11.7109375" style="1" bestFit="1" customWidth="1"/>
    <col min="6" max="6" width="16.00390625" style="1" customWidth="1"/>
    <col min="7" max="7" width="11.7109375" style="1" bestFit="1" customWidth="1"/>
    <col min="8" max="8" width="14.140625" style="1" bestFit="1" customWidth="1"/>
    <col min="9" max="9" width="15.57421875" style="1" bestFit="1" customWidth="1"/>
    <col min="10" max="10" width="13.57421875" style="1" bestFit="1" customWidth="1"/>
    <col min="11" max="11" width="11.28125" style="1" bestFit="1" customWidth="1"/>
    <col min="12" max="12" width="17.28125" style="1" bestFit="1" customWidth="1"/>
    <col min="13" max="13" width="11.421875" style="1" bestFit="1" customWidth="1"/>
    <col min="14" max="14" width="14.8515625" style="1" bestFit="1" customWidth="1"/>
    <col min="15" max="15" width="8.57421875" style="1" bestFit="1" customWidth="1"/>
    <col min="16" max="16" width="14.8515625" style="1" bestFit="1" customWidth="1"/>
    <col min="17" max="17" width="8.57421875" style="1" bestFit="1" customWidth="1"/>
    <col min="18" max="16384" width="9.140625" style="1" customWidth="1"/>
  </cols>
  <sheetData>
    <row r="1" spans="1:12" ht="15.75">
      <c r="A1" s="282" t="s">
        <v>247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7" ht="15">
      <c r="A2" s="299" t="s">
        <v>63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7"/>
      <c r="N2" s="68"/>
      <c r="O2" s="68"/>
      <c r="P2" s="68"/>
      <c r="Q2" s="68"/>
    </row>
    <row r="3" spans="1:17" ht="15">
      <c r="A3" s="302" t="s">
        <v>248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4"/>
      <c r="M3" s="27"/>
      <c r="N3" s="68"/>
      <c r="O3" s="68"/>
      <c r="P3" s="68"/>
      <c r="Q3" s="68"/>
    </row>
    <row r="4" spans="1:17" ht="15">
      <c r="A4" s="302" t="s">
        <v>249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4"/>
      <c r="M4" s="27"/>
      <c r="N4" s="68"/>
      <c r="O4" s="68"/>
      <c r="P4" s="68"/>
      <c r="Q4" s="68"/>
    </row>
    <row r="5" spans="1:17" ht="14.25" customHeight="1">
      <c r="A5" s="302" t="s">
        <v>64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4"/>
      <c r="M5" s="27"/>
      <c r="N5" s="68"/>
      <c r="O5" s="68"/>
      <c r="P5" s="68"/>
      <c r="Q5" s="68"/>
    </row>
    <row r="6" spans="1:17" ht="14.25" customHeight="1" thickBot="1">
      <c r="A6" s="305" t="s">
        <v>256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7"/>
      <c r="M6" s="27"/>
      <c r="N6" s="68"/>
      <c r="O6" s="68"/>
      <c r="P6" s="68"/>
      <c r="Q6" s="68"/>
    </row>
    <row r="7" spans="1:17" ht="15.75" thickBot="1">
      <c r="A7" s="308" t="s">
        <v>27</v>
      </c>
      <c r="B7" s="309"/>
      <c r="C7" s="309"/>
      <c r="D7" s="309"/>
      <c r="E7" s="309"/>
      <c r="F7" s="309"/>
      <c r="G7" s="309"/>
      <c r="H7" s="309"/>
      <c r="I7" s="310"/>
      <c r="J7" s="311" t="s">
        <v>40</v>
      </c>
      <c r="K7" s="312"/>
      <c r="L7" s="313"/>
      <c r="M7" s="28" t="s">
        <v>43</v>
      </c>
      <c r="N7" s="68"/>
      <c r="O7" s="68"/>
      <c r="P7" s="68"/>
      <c r="Q7" s="68"/>
    </row>
    <row r="8" spans="1:17" ht="15.75" thickBot="1">
      <c r="A8" s="285" t="s">
        <v>0</v>
      </c>
      <c r="B8" s="285" t="s">
        <v>29</v>
      </c>
      <c r="C8" s="294" t="s">
        <v>1</v>
      </c>
      <c r="D8" s="285" t="s">
        <v>2</v>
      </c>
      <c r="E8" s="296" t="s">
        <v>22</v>
      </c>
      <c r="F8" s="296"/>
      <c r="G8" s="297" t="s">
        <v>23</v>
      </c>
      <c r="H8" s="298"/>
      <c r="I8" s="285" t="s">
        <v>4</v>
      </c>
      <c r="J8" s="287" t="s">
        <v>229</v>
      </c>
      <c r="K8" s="288"/>
      <c r="L8" s="289"/>
      <c r="M8" s="111">
        <v>1.2636</v>
      </c>
      <c r="N8" s="116"/>
      <c r="O8" s="20"/>
      <c r="P8" s="116"/>
      <c r="Q8" s="20"/>
    </row>
    <row r="9" spans="1:17" ht="15.75" thickBot="1">
      <c r="A9" s="286"/>
      <c r="B9" s="286"/>
      <c r="C9" s="295"/>
      <c r="D9" s="286"/>
      <c r="E9" s="69" t="s">
        <v>3</v>
      </c>
      <c r="F9" s="70" t="s">
        <v>4</v>
      </c>
      <c r="G9" s="71" t="s">
        <v>3</v>
      </c>
      <c r="H9" s="72" t="s">
        <v>4</v>
      </c>
      <c r="I9" s="286"/>
      <c r="J9" s="89" t="s">
        <v>44</v>
      </c>
      <c r="K9" s="84" t="s">
        <v>39</v>
      </c>
      <c r="L9" s="90" t="s">
        <v>38</v>
      </c>
      <c r="M9" s="27"/>
      <c r="N9" s="177"/>
      <c r="O9" s="178"/>
      <c r="P9" s="117"/>
      <c r="Q9" s="178"/>
    </row>
    <row r="10" spans="1:17" ht="15.75" thickBot="1">
      <c r="A10" s="210">
        <v>1</v>
      </c>
      <c r="B10" s="211" t="s">
        <v>51</v>
      </c>
      <c r="C10" s="212"/>
      <c r="D10" s="213"/>
      <c r="E10" s="213"/>
      <c r="F10" s="214"/>
      <c r="G10" s="213"/>
      <c r="H10" s="214"/>
      <c r="I10" s="215"/>
      <c r="J10" s="245"/>
      <c r="K10" s="246"/>
      <c r="L10" s="247"/>
      <c r="M10" s="27"/>
      <c r="N10" s="118"/>
      <c r="O10" s="179"/>
      <c r="P10" s="180"/>
      <c r="Q10" s="181"/>
    </row>
    <row r="11" spans="1:17" ht="104.25" customHeight="1">
      <c r="A11" s="216">
        <v>1.1</v>
      </c>
      <c r="B11" s="217" t="s">
        <v>200</v>
      </c>
      <c r="C11" s="218">
        <v>5937.87</v>
      </c>
      <c r="D11" s="219" t="s">
        <v>8</v>
      </c>
      <c r="E11" s="220">
        <f>J11*0.7</f>
        <v>7.474193999999999</v>
      </c>
      <c r="F11" s="220">
        <f aca="true" t="shared" si="0" ref="F11:F32">C11*E11</f>
        <v>44380.79232677999</v>
      </c>
      <c r="G11" s="220">
        <f>J11*0.3</f>
        <v>3.203226</v>
      </c>
      <c r="H11" s="220">
        <f>PRODUCT(G11,C11)</f>
        <v>19020.33956862</v>
      </c>
      <c r="I11" s="221">
        <f aca="true" t="shared" si="1" ref="I11:I32">SUM(F11+H11)</f>
        <v>63401.13189539999</v>
      </c>
      <c r="J11" s="242">
        <f aca="true" t="shared" si="2" ref="J11:J32">K11*$M$8</f>
        <v>10.67742</v>
      </c>
      <c r="K11" s="243">
        <v>8.45</v>
      </c>
      <c r="L11" s="244" t="s">
        <v>52</v>
      </c>
      <c r="M11" s="29"/>
      <c r="N11" s="118"/>
      <c r="O11" s="179"/>
      <c r="P11" s="180"/>
      <c r="Q11" s="181"/>
    </row>
    <row r="12" spans="1:17" ht="90" customHeight="1">
      <c r="A12" s="14">
        <v>1.2</v>
      </c>
      <c r="B12" s="106" t="s">
        <v>53</v>
      </c>
      <c r="C12" s="25">
        <v>5304.96</v>
      </c>
      <c r="D12" s="15" t="s">
        <v>8</v>
      </c>
      <c r="E12" s="41">
        <f aca="true" t="shared" si="3" ref="E12:E28">J12*0.7</f>
        <v>12.6840168</v>
      </c>
      <c r="F12" s="41">
        <f t="shared" si="0"/>
        <v>67288.201763328</v>
      </c>
      <c r="G12" s="41">
        <f aca="true" t="shared" si="4" ref="G12:G28">J12*0.3</f>
        <v>5.4360072</v>
      </c>
      <c r="H12" s="41">
        <f aca="true" t="shared" si="5" ref="H12:H32">C12*G12</f>
        <v>28837.800755712</v>
      </c>
      <c r="I12" s="55">
        <f t="shared" si="1"/>
        <v>96126.00251904</v>
      </c>
      <c r="J12" s="222">
        <f t="shared" si="2"/>
        <v>18.120024</v>
      </c>
      <c r="K12" s="37">
        <v>14.34</v>
      </c>
      <c r="L12" s="223" t="s">
        <v>54</v>
      </c>
      <c r="M12" s="29"/>
      <c r="N12" s="166"/>
      <c r="O12" s="166"/>
      <c r="P12" s="166"/>
      <c r="Q12" s="166"/>
    </row>
    <row r="13" spans="1:17" ht="25.5">
      <c r="A13" s="14">
        <v>1.3</v>
      </c>
      <c r="B13" s="39" t="s">
        <v>132</v>
      </c>
      <c r="C13" s="25">
        <v>5304.96</v>
      </c>
      <c r="D13" s="15" t="s">
        <v>8</v>
      </c>
      <c r="E13" s="41">
        <f t="shared" si="3"/>
        <v>3.9891851999999997</v>
      </c>
      <c r="F13" s="41">
        <f t="shared" si="0"/>
        <v>21162.467918592</v>
      </c>
      <c r="G13" s="41">
        <f t="shared" si="4"/>
        <v>1.7096508</v>
      </c>
      <c r="H13" s="41">
        <f t="shared" si="5"/>
        <v>9069.629107968</v>
      </c>
      <c r="I13" s="55">
        <f t="shared" si="1"/>
        <v>30232.097026559997</v>
      </c>
      <c r="J13" s="222">
        <f t="shared" si="2"/>
        <v>5.698836</v>
      </c>
      <c r="K13" s="37">
        <v>4.51</v>
      </c>
      <c r="L13" s="223" t="s">
        <v>55</v>
      </c>
      <c r="M13" s="29"/>
      <c r="N13" s="166"/>
      <c r="O13" s="166"/>
      <c r="P13" s="166"/>
      <c r="Q13" s="166"/>
    </row>
    <row r="14" spans="1:17" ht="75.75" customHeight="1">
      <c r="A14" s="14">
        <v>1.4</v>
      </c>
      <c r="B14" s="106" t="s">
        <v>58</v>
      </c>
      <c r="C14" s="25">
        <v>850</v>
      </c>
      <c r="D14" s="15" t="s">
        <v>10</v>
      </c>
      <c r="E14" s="41">
        <f t="shared" si="3"/>
        <v>133.5536748</v>
      </c>
      <c r="F14" s="41">
        <f>C14*E14</f>
        <v>113520.62358000001</v>
      </c>
      <c r="G14" s="41">
        <f t="shared" si="4"/>
        <v>57.237289200000006</v>
      </c>
      <c r="H14" s="41">
        <f t="shared" si="5"/>
        <v>48651.69582000001</v>
      </c>
      <c r="I14" s="55">
        <f>SUM(F14+H14)</f>
        <v>162172.31940000004</v>
      </c>
      <c r="J14" s="222">
        <f t="shared" si="2"/>
        <v>190.79096400000003</v>
      </c>
      <c r="K14" s="37">
        <v>150.99</v>
      </c>
      <c r="L14" s="223" t="s">
        <v>59</v>
      </c>
      <c r="M14" s="29"/>
      <c r="N14" s="166"/>
      <c r="O14" s="166"/>
      <c r="P14" s="166"/>
      <c r="Q14" s="166"/>
    </row>
    <row r="15" spans="1:17" ht="76.5" customHeight="1">
      <c r="A15" s="14">
        <v>1.5</v>
      </c>
      <c r="B15" s="106" t="s">
        <v>57</v>
      </c>
      <c r="C15" s="25">
        <v>380</v>
      </c>
      <c r="D15" s="15" t="s">
        <v>10</v>
      </c>
      <c r="E15" s="41">
        <f t="shared" si="3"/>
        <v>170.0224344</v>
      </c>
      <c r="F15" s="41">
        <f>C15*E15</f>
        <v>64608.525072000004</v>
      </c>
      <c r="G15" s="41">
        <f t="shared" si="4"/>
        <v>72.8667576</v>
      </c>
      <c r="H15" s="41">
        <f t="shared" si="5"/>
        <v>27689.367888</v>
      </c>
      <c r="I15" s="55">
        <f>SUM(F15+H15)</f>
        <v>92297.89296</v>
      </c>
      <c r="J15" s="222">
        <f t="shared" si="2"/>
        <v>242.889192</v>
      </c>
      <c r="K15" s="37">
        <v>192.22</v>
      </c>
      <c r="L15" s="223" t="s">
        <v>56</v>
      </c>
      <c r="M15" s="29"/>
      <c r="N15" s="166"/>
      <c r="O15" s="166"/>
      <c r="P15" s="166"/>
      <c r="Q15" s="166"/>
    </row>
    <row r="16" spans="1:17" ht="76.5" customHeight="1">
      <c r="A16" s="14">
        <v>1.6</v>
      </c>
      <c r="B16" s="106" t="s">
        <v>60</v>
      </c>
      <c r="C16" s="25">
        <v>220</v>
      </c>
      <c r="D16" s="15" t="s">
        <v>10</v>
      </c>
      <c r="E16" s="41">
        <f t="shared" si="3"/>
        <v>255.67935119999999</v>
      </c>
      <c r="F16" s="41">
        <f>C16*E16</f>
        <v>56249.457264</v>
      </c>
      <c r="G16" s="41">
        <f t="shared" si="4"/>
        <v>109.5768648</v>
      </c>
      <c r="H16" s="41">
        <f t="shared" si="5"/>
        <v>24106.910256</v>
      </c>
      <c r="I16" s="55">
        <f>SUM(F16+H16)</f>
        <v>80356.36752</v>
      </c>
      <c r="J16" s="222">
        <f t="shared" si="2"/>
        <v>365.256216</v>
      </c>
      <c r="K16" s="37">
        <v>289.06</v>
      </c>
      <c r="L16" s="223" t="s">
        <v>61</v>
      </c>
      <c r="M16" s="29"/>
      <c r="N16" s="166"/>
      <c r="O16" s="166"/>
      <c r="P16" s="166"/>
      <c r="Q16" s="166"/>
    </row>
    <row r="17" spans="1:17" ht="51">
      <c r="A17" s="14">
        <v>1.7</v>
      </c>
      <c r="B17" s="107" t="s">
        <v>83</v>
      </c>
      <c r="C17" s="25">
        <v>21</v>
      </c>
      <c r="D17" s="15" t="s">
        <v>17</v>
      </c>
      <c r="E17" s="41">
        <f t="shared" si="3"/>
        <v>728.6941116</v>
      </c>
      <c r="F17" s="41">
        <f t="shared" si="0"/>
        <v>15302.576343600002</v>
      </c>
      <c r="G17" s="41">
        <f t="shared" si="4"/>
        <v>312.2974764</v>
      </c>
      <c r="H17" s="41">
        <f t="shared" si="5"/>
        <v>6558.2470044</v>
      </c>
      <c r="I17" s="55">
        <f t="shared" si="1"/>
        <v>21860.823348</v>
      </c>
      <c r="J17" s="222">
        <f t="shared" si="2"/>
        <v>1040.991588</v>
      </c>
      <c r="K17" s="37">
        <v>823.83</v>
      </c>
      <c r="L17" s="223" t="s">
        <v>62</v>
      </c>
      <c r="M17" s="29"/>
      <c r="N17" s="166"/>
      <c r="O17" s="166"/>
      <c r="P17" s="166"/>
      <c r="Q17" s="166"/>
    </row>
    <row r="18" spans="1:17" ht="25.5">
      <c r="A18" s="14">
        <v>1.8</v>
      </c>
      <c r="B18" s="107" t="s">
        <v>79</v>
      </c>
      <c r="C18" s="25">
        <v>3</v>
      </c>
      <c r="D18" s="15" t="s">
        <v>17</v>
      </c>
      <c r="E18" s="41">
        <f t="shared" si="3"/>
        <v>924.5976012</v>
      </c>
      <c r="F18" s="41">
        <f t="shared" si="0"/>
        <v>2773.7928036</v>
      </c>
      <c r="G18" s="41">
        <f t="shared" si="4"/>
        <v>396.25611480000003</v>
      </c>
      <c r="H18" s="41">
        <f t="shared" si="5"/>
        <v>1188.7683444000002</v>
      </c>
      <c r="I18" s="55">
        <f t="shared" si="1"/>
        <v>3962.561148</v>
      </c>
      <c r="J18" s="222">
        <f t="shared" si="2"/>
        <v>1320.853716</v>
      </c>
      <c r="K18" s="37">
        <v>1045.31</v>
      </c>
      <c r="L18" s="223" t="s">
        <v>78</v>
      </c>
      <c r="M18" s="29"/>
      <c r="N18" s="166"/>
      <c r="O18" s="166"/>
      <c r="P18" s="166"/>
      <c r="Q18" s="166"/>
    </row>
    <row r="19" spans="1:17" ht="25.5">
      <c r="A19" s="14">
        <v>1.9</v>
      </c>
      <c r="B19" s="107" t="s">
        <v>82</v>
      </c>
      <c r="C19" s="25">
        <v>4</v>
      </c>
      <c r="D19" s="15" t="s">
        <v>17</v>
      </c>
      <c r="E19" s="41">
        <f t="shared" si="3"/>
        <v>1463.3233524</v>
      </c>
      <c r="F19" s="41">
        <f t="shared" si="0"/>
        <v>5853.2934096</v>
      </c>
      <c r="G19" s="41">
        <f t="shared" si="4"/>
        <v>627.1385796000001</v>
      </c>
      <c r="H19" s="41">
        <f t="shared" si="5"/>
        <v>2508.5543184000003</v>
      </c>
      <c r="I19" s="55">
        <f t="shared" si="1"/>
        <v>8361.847728</v>
      </c>
      <c r="J19" s="222">
        <f t="shared" si="2"/>
        <v>2090.461932</v>
      </c>
      <c r="K19" s="37">
        <v>1654.37</v>
      </c>
      <c r="L19" s="223" t="s">
        <v>81</v>
      </c>
      <c r="M19" s="29"/>
      <c r="N19" s="173"/>
      <c r="O19" s="173"/>
      <c r="P19" s="173"/>
      <c r="Q19" s="173"/>
    </row>
    <row r="20" spans="1:17" ht="15">
      <c r="A20" s="188">
        <v>1.1</v>
      </c>
      <c r="B20" s="107" t="s">
        <v>85</v>
      </c>
      <c r="C20" s="25">
        <v>2</v>
      </c>
      <c r="D20" s="15" t="s">
        <v>17</v>
      </c>
      <c r="E20" s="41">
        <f t="shared" si="3"/>
        <v>1708.2027143999999</v>
      </c>
      <c r="F20" s="41">
        <f t="shared" si="0"/>
        <v>3416.4054287999998</v>
      </c>
      <c r="G20" s="41">
        <f t="shared" si="4"/>
        <v>732.0868776</v>
      </c>
      <c r="H20" s="41">
        <f t="shared" si="5"/>
        <v>1464.1737552</v>
      </c>
      <c r="I20" s="55">
        <f t="shared" si="1"/>
        <v>4880.579184</v>
      </c>
      <c r="J20" s="222">
        <f t="shared" si="2"/>
        <v>2440.289592</v>
      </c>
      <c r="K20" s="37">
        <v>1931.22</v>
      </c>
      <c r="L20" s="223" t="s">
        <v>91</v>
      </c>
      <c r="M20" s="29"/>
      <c r="N20" s="173"/>
      <c r="O20" s="173"/>
      <c r="P20" s="173"/>
      <c r="Q20" s="173"/>
    </row>
    <row r="21" spans="1:13" ht="15">
      <c r="A21" s="14">
        <v>1.11</v>
      </c>
      <c r="B21" s="107" t="s">
        <v>86</v>
      </c>
      <c r="C21" s="25">
        <v>1</v>
      </c>
      <c r="D21" s="15" t="s">
        <v>17</v>
      </c>
      <c r="E21" s="41">
        <f t="shared" si="3"/>
        <v>875.6217288</v>
      </c>
      <c r="F21" s="41">
        <f t="shared" si="0"/>
        <v>875.6217288</v>
      </c>
      <c r="G21" s="41">
        <f t="shared" si="4"/>
        <v>375.26645520000005</v>
      </c>
      <c r="H21" s="41">
        <f t="shared" si="5"/>
        <v>375.26645520000005</v>
      </c>
      <c r="I21" s="55">
        <f t="shared" si="1"/>
        <v>1250.8881840000001</v>
      </c>
      <c r="J21" s="222">
        <f t="shared" si="2"/>
        <v>1250.8881840000001</v>
      </c>
      <c r="K21" s="37">
        <v>989.94</v>
      </c>
      <c r="L21" s="223" t="s">
        <v>92</v>
      </c>
      <c r="M21" s="29"/>
    </row>
    <row r="22" spans="1:13" ht="15">
      <c r="A22" s="14">
        <v>1.12</v>
      </c>
      <c r="B22" s="107" t="s">
        <v>90</v>
      </c>
      <c r="C22" s="25">
        <v>1</v>
      </c>
      <c r="D22" s="15" t="s">
        <v>17</v>
      </c>
      <c r="E22" s="41">
        <f t="shared" si="3"/>
        <v>973.5734736</v>
      </c>
      <c r="F22" s="41">
        <f t="shared" si="0"/>
        <v>973.5734736</v>
      </c>
      <c r="G22" s="41">
        <f t="shared" si="4"/>
        <v>417.2457744000001</v>
      </c>
      <c r="H22" s="41">
        <f t="shared" si="5"/>
        <v>417.2457744000001</v>
      </c>
      <c r="I22" s="55">
        <f t="shared" si="1"/>
        <v>1390.8192480000002</v>
      </c>
      <c r="J22" s="222">
        <f t="shared" si="2"/>
        <v>1390.8192480000002</v>
      </c>
      <c r="K22" s="37">
        <v>1100.68</v>
      </c>
      <c r="L22" s="223" t="s">
        <v>93</v>
      </c>
      <c r="M22" s="29"/>
    </row>
    <row r="23" spans="1:13" ht="15">
      <c r="A23" s="14">
        <v>1.13</v>
      </c>
      <c r="B23" s="107" t="s">
        <v>117</v>
      </c>
      <c r="C23" s="25">
        <v>2</v>
      </c>
      <c r="D23" s="15" t="s">
        <v>17</v>
      </c>
      <c r="E23" s="41">
        <f t="shared" si="3"/>
        <v>1561.2750972</v>
      </c>
      <c r="F23" s="41">
        <f t="shared" si="0"/>
        <v>3122.5501944</v>
      </c>
      <c r="G23" s="41">
        <f t="shared" si="4"/>
        <v>669.1178988</v>
      </c>
      <c r="H23" s="41">
        <f t="shared" si="5"/>
        <v>1338.2357976</v>
      </c>
      <c r="I23" s="55">
        <f t="shared" si="1"/>
        <v>4460.785992</v>
      </c>
      <c r="J23" s="222">
        <f t="shared" si="2"/>
        <v>2230.392996</v>
      </c>
      <c r="K23" s="37">
        <v>1765.11</v>
      </c>
      <c r="L23" s="223" t="s">
        <v>94</v>
      </c>
      <c r="M23" s="29"/>
    </row>
    <row r="24" spans="1:13" ht="25.5">
      <c r="A24" s="14">
        <v>1.14</v>
      </c>
      <c r="B24" s="107" t="s">
        <v>98</v>
      </c>
      <c r="C24" s="25">
        <v>3</v>
      </c>
      <c r="D24" s="15" t="s">
        <v>17</v>
      </c>
      <c r="E24" s="41">
        <f t="shared" si="3"/>
        <v>826.6458564000001</v>
      </c>
      <c r="F24" s="41">
        <f t="shared" si="0"/>
        <v>2479.9375692000003</v>
      </c>
      <c r="G24" s="41">
        <f t="shared" si="4"/>
        <v>354.27679560000007</v>
      </c>
      <c r="H24" s="41">
        <f t="shared" si="5"/>
        <v>1062.8303868000003</v>
      </c>
      <c r="I24" s="55">
        <f t="shared" si="1"/>
        <v>3542.7679560000006</v>
      </c>
      <c r="J24" s="224">
        <f t="shared" si="2"/>
        <v>1180.9226520000002</v>
      </c>
      <c r="K24" s="37">
        <v>934.57</v>
      </c>
      <c r="L24" s="223" t="s">
        <v>95</v>
      </c>
      <c r="M24" s="29"/>
    </row>
    <row r="25" spans="1:13" ht="15">
      <c r="A25" s="14">
        <v>1.15</v>
      </c>
      <c r="B25" s="107" t="s">
        <v>101</v>
      </c>
      <c r="C25" s="25">
        <v>1</v>
      </c>
      <c r="D25" s="15" t="s">
        <v>17</v>
      </c>
      <c r="E25" s="41">
        <f t="shared" si="3"/>
        <v>1218.4528355999998</v>
      </c>
      <c r="F25" s="41">
        <f t="shared" si="0"/>
        <v>1218.4528355999998</v>
      </c>
      <c r="G25" s="41">
        <f t="shared" si="4"/>
        <v>522.1940724</v>
      </c>
      <c r="H25" s="41">
        <f t="shared" si="5"/>
        <v>522.1940724</v>
      </c>
      <c r="I25" s="55">
        <f t="shared" si="1"/>
        <v>1740.6469079999997</v>
      </c>
      <c r="J25" s="222">
        <f t="shared" si="2"/>
        <v>1740.646908</v>
      </c>
      <c r="K25" s="37">
        <v>1377.53</v>
      </c>
      <c r="L25" s="223" t="s">
        <v>96</v>
      </c>
      <c r="M25" s="29"/>
    </row>
    <row r="26" spans="1:13" ht="15">
      <c r="A26" s="14">
        <v>1.16</v>
      </c>
      <c r="B26" s="107" t="s">
        <v>103</v>
      </c>
      <c r="C26" s="25">
        <v>1</v>
      </c>
      <c r="D26" s="15" t="s">
        <v>17</v>
      </c>
      <c r="E26" s="41">
        <f t="shared" si="3"/>
        <v>1351.458108</v>
      </c>
      <c r="F26" s="41">
        <f t="shared" si="0"/>
        <v>1351.458108</v>
      </c>
      <c r="G26" s="41">
        <f t="shared" si="4"/>
        <v>579.1963320000001</v>
      </c>
      <c r="H26" s="41">
        <f t="shared" si="5"/>
        <v>579.1963320000001</v>
      </c>
      <c r="I26" s="55">
        <f t="shared" si="1"/>
        <v>1930.6544400000002</v>
      </c>
      <c r="J26" s="222">
        <f t="shared" si="2"/>
        <v>1930.6544400000002</v>
      </c>
      <c r="K26" s="37">
        <v>1527.9</v>
      </c>
      <c r="L26" s="223" t="s">
        <v>32</v>
      </c>
      <c r="M26" s="29"/>
    </row>
    <row r="27" spans="1:13" ht="15">
      <c r="A27" s="14">
        <v>1.17</v>
      </c>
      <c r="B27" s="107" t="s">
        <v>105</v>
      </c>
      <c r="C27" s="25">
        <v>1</v>
      </c>
      <c r="D27" s="15" t="s">
        <v>17</v>
      </c>
      <c r="E27" s="41">
        <f t="shared" si="3"/>
        <v>1619.4322871999998</v>
      </c>
      <c r="F27" s="41">
        <f t="shared" si="0"/>
        <v>1619.4322871999998</v>
      </c>
      <c r="G27" s="41">
        <f t="shared" si="4"/>
        <v>694.0424087999999</v>
      </c>
      <c r="H27" s="41">
        <f t="shared" si="5"/>
        <v>694.0424087999999</v>
      </c>
      <c r="I27" s="55">
        <f t="shared" si="1"/>
        <v>2313.4746959999998</v>
      </c>
      <c r="J27" s="222">
        <f t="shared" si="2"/>
        <v>2313.4746959999998</v>
      </c>
      <c r="K27" s="37">
        <v>1830.86</v>
      </c>
      <c r="L27" s="223" t="s">
        <v>33</v>
      </c>
      <c r="M27" s="29"/>
    </row>
    <row r="28" spans="1:13" ht="15">
      <c r="A28" s="14">
        <v>1.18</v>
      </c>
      <c r="B28" s="107" t="s">
        <v>106</v>
      </c>
      <c r="C28" s="25">
        <v>1</v>
      </c>
      <c r="D28" s="15" t="s">
        <v>17</v>
      </c>
      <c r="E28" s="41">
        <f t="shared" si="3"/>
        <v>976.1562719999998</v>
      </c>
      <c r="F28" s="41">
        <f t="shared" si="0"/>
        <v>976.1562719999998</v>
      </c>
      <c r="G28" s="41">
        <f t="shared" si="4"/>
        <v>418.35268799999994</v>
      </c>
      <c r="H28" s="41">
        <f t="shared" si="5"/>
        <v>418.35268799999994</v>
      </c>
      <c r="I28" s="55">
        <f t="shared" si="1"/>
        <v>1394.5089599999997</v>
      </c>
      <c r="J28" s="222">
        <f t="shared" si="2"/>
        <v>1394.50896</v>
      </c>
      <c r="K28" s="37">
        <v>1103.6</v>
      </c>
      <c r="L28" s="223" t="s">
        <v>34</v>
      </c>
      <c r="M28" s="29"/>
    </row>
    <row r="29" spans="1:13" ht="25.5">
      <c r="A29" s="14">
        <v>1.19</v>
      </c>
      <c r="B29" s="107" t="s">
        <v>109</v>
      </c>
      <c r="C29" s="25">
        <v>1</v>
      </c>
      <c r="D29" s="15" t="s">
        <v>17</v>
      </c>
      <c r="E29" s="41">
        <f>J29*0.7</f>
        <v>1733.9599367999997</v>
      </c>
      <c r="F29" s="41">
        <f t="shared" si="0"/>
        <v>1733.9599367999997</v>
      </c>
      <c r="G29" s="41">
        <f>J29*0.3</f>
        <v>743.1256871999999</v>
      </c>
      <c r="H29" s="41">
        <f t="shared" si="5"/>
        <v>743.1256871999999</v>
      </c>
      <c r="I29" s="55">
        <f t="shared" si="1"/>
        <v>2477.0856239999994</v>
      </c>
      <c r="J29" s="222">
        <f t="shared" si="2"/>
        <v>2477.085624</v>
      </c>
      <c r="K29" s="37">
        <v>1960.34</v>
      </c>
      <c r="L29" s="223" t="s">
        <v>35</v>
      </c>
      <c r="M29" s="29"/>
    </row>
    <row r="30" spans="1:13" ht="25.5">
      <c r="A30" s="188">
        <v>1.2</v>
      </c>
      <c r="B30" s="107" t="s">
        <v>113</v>
      </c>
      <c r="C30" s="25">
        <v>2</v>
      </c>
      <c r="D30" s="15" t="s">
        <v>17</v>
      </c>
      <c r="E30" s="41">
        <f>J30*0.7</f>
        <v>2222.8606764</v>
      </c>
      <c r="F30" s="41">
        <f t="shared" si="0"/>
        <v>4445.7213528</v>
      </c>
      <c r="G30" s="41">
        <f>J30*0.3</f>
        <v>952.6545756</v>
      </c>
      <c r="H30" s="41">
        <f t="shared" si="5"/>
        <v>1905.3091512</v>
      </c>
      <c r="I30" s="55">
        <f t="shared" si="1"/>
        <v>6351.030504</v>
      </c>
      <c r="J30" s="222">
        <f t="shared" si="2"/>
        <v>3175.515252</v>
      </c>
      <c r="K30" s="37">
        <v>2513.07</v>
      </c>
      <c r="L30" s="223" t="s">
        <v>36</v>
      </c>
      <c r="M30" s="29"/>
    </row>
    <row r="31" spans="1:13" ht="25.5">
      <c r="A31" s="14">
        <v>1.21</v>
      </c>
      <c r="B31" s="107" t="s">
        <v>114</v>
      </c>
      <c r="C31" s="25">
        <v>1</v>
      </c>
      <c r="D31" s="15" t="s">
        <v>17</v>
      </c>
      <c r="E31" s="41">
        <f>J31*0.7</f>
        <v>2678.3884764000004</v>
      </c>
      <c r="F31" s="41">
        <f t="shared" si="0"/>
        <v>2678.3884764000004</v>
      </c>
      <c r="G31" s="41">
        <f>J31*0.3</f>
        <v>1147.8807756</v>
      </c>
      <c r="H31" s="41">
        <f t="shared" si="5"/>
        <v>1147.8807756</v>
      </c>
      <c r="I31" s="55">
        <f t="shared" si="1"/>
        <v>3826.2692520000005</v>
      </c>
      <c r="J31" s="222">
        <f t="shared" si="2"/>
        <v>3826.2692520000005</v>
      </c>
      <c r="K31" s="37">
        <v>3028.07</v>
      </c>
      <c r="L31" s="223" t="s">
        <v>37</v>
      </c>
      <c r="M31" s="29"/>
    </row>
    <row r="32" spans="1:13" ht="15">
      <c r="A32" s="51">
        <v>1.22</v>
      </c>
      <c r="B32" s="236" t="s">
        <v>115</v>
      </c>
      <c r="C32" s="191">
        <v>2</v>
      </c>
      <c r="D32" s="19" t="s">
        <v>17</v>
      </c>
      <c r="E32" s="193">
        <f>J32*0.7</f>
        <v>817.6768236</v>
      </c>
      <c r="F32" s="193">
        <f t="shared" si="0"/>
        <v>1635.3536472</v>
      </c>
      <c r="G32" s="193">
        <f>J32*0.3</f>
        <v>350.4329244</v>
      </c>
      <c r="H32" s="193">
        <f t="shared" si="5"/>
        <v>700.8658488</v>
      </c>
      <c r="I32" s="194">
        <f t="shared" si="1"/>
        <v>2336.219496</v>
      </c>
      <c r="J32" s="222">
        <f t="shared" si="2"/>
        <v>1168.109748</v>
      </c>
      <c r="K32" s="37">
        <v>924.43</v>
      </c>
      <c r="L32" s="223" t="s">
        <v>45</v>
      </c>
      <c r="M32" s="29"/>
    </row>
    <row r="33" spans="1:13" ht="15.75" thickBot="1">
      <c r="A33" s="73"/>
      <c r="B33" s="74" t="s">
        <v>7</v>
      </c>
      <c r="C33" s="75"/>
      <c r="D33" s="80"/>
      <c r="E33" s="81"/>
      <c r="F33" s="78">
        <f>SUM(F11:F32)</f>
        <v>417666.74179229996</v>
      </c>
      <c r="G33" s="81"/>
      <c r="H33" s="78">
        <f>SUM(H11:H32)</f>
        <v>179000.03219670002</v>
      </c>
      <c r="I33" s="79">
        <f>SUM(I11:I32)</f>
        <v>596666.773989</v>
      </c>
      <c r="J33" s="237"/>
      <c r="K33" s="238"/>
      <c r="L33" s="239"/>
      <c r="M33" s="27"/>
    </row>
    <row r="34" spans="1:13" ht="15.75" thickBot="1">
      <c r="A34" s="230">
        <v>2</v>
      </c>
      <c r="B34" s="231" t="s">
        <v>118</v>
      </c>
      <c r="C34" s="232"/>
      <c r="D34" s="85"/>
      <c r="E34" s="85"/>
      <c r="F34" s="233"/>
      <c r="G34" s="85"/>
      <c r="H34" s="233"/>
      <c r="I34" s="234"/>
      <c r="J34" s="245"/>
      <c r="K34" s="246"/>
      <c r="L34" s="247"/>
      <c r="M34" s="27"/>
    </row>
    <row r="35" spans="1:13" ht="92.25" customHeight="1">
      <c r="A35" s="216">
        <v>2.1</v>
      </c>
      <c r="B35" s="217" t="s">
        <v>121</v>
      </c>
      <c r="C35" s="218">
        <v>1159.8</v>
      </c>
      <c r="D35" s="219" t="s">
        <v>8</v>
      </c>
      <c r="E35" s="235">
        <f>J35*0.7</f>
        <v>8.305642800000001</v>
      </c>
      <c r="F35" s="220">
        <f aca="true" t="shared" si="6" ref="F35:F66">C35*E35</f>
        <v>9632.88451944</v>
      </c>
      <c r="G35" s="220">
        <f>J35*0.3</f>
        <v>3.5595612000000005</v>
      </c>
      <c r="H35" s="220">
        <f aca="true" t="shared" si="7" ref="H35:H66">C35*G35</f>
        <v>4128.37907976</v>
      </c>
      <c r="I35" s="221">
        <f aca="true" t="shared" si="8" ref="I35:I65">F35+H35</f>
        <v>13761.2635992</v>
      </c>
      <c r="J35" s="242">
        <f aca="true" t="shared" si="9" ref="J35:J66">K35*$M$8</f>
        <v>11.865204000000002</v>
      </c>
      <c r="K35" s="243">
        <v>9.39</v>
      </c>
      <c r="L35" s="248" t="s">
        <v>120</v>
      </c>
      <c r="M35" s="29"/>
    </row>
    <row r="36" spans="1:13" ht="39" customHeight="1">
      <c r="A36" s="14">
        <v>2.2</v>
      </c>
      <c r="B36" s="106" t="s">
        <v>139</v>
      </c>
      <c r="C36" s="25">
        <v>1159.8</v>
      </c>
      <c r="D36" s="15" t="s">
        <v>14</v>
      </c>
      <c r="E36" s="40">
        <f>J36*0.7</f>
        <v>4.5464328</v>
      </c>
      <c r="F36" s="41">
        <f t="shared" si="6"/>
        <v>5272.952761439999</v>
      </c>
      <c r="G36" s="41">
        <f>J36*0.3</f>
        <v>1.9484712</v>
      </c>
      <c r="H36" s="41">
        <f t="shared" si="7"/>
        <v>2259.83689776</v>
      </c>
      <c r="I36" s="55">
        <f t="shared" si="8"/>
        <v>7532.7896592</v>
      </c>
      <c r="J36" s="222">
        <f t="shared" si="9"/>
        <v>6.494904</v>
      </c>
      <c r="K36" s="37">
        <v>5.14</v>
      </c>
      <c r="L36" s="240" t="s">
        <v>138</v>
      </c>
      <c r="M36" s="29"/>
    </row>
    <row r="37" spans="1:13" ht="25.5">
      <c r="A37" s="14">
        <v>2.3</v>
      </c>
      <c r="B37" s="39" t="s">
        <v>137</v>
      </c>
      <c r="C37" s="25">
        <v>115.98</v>
      </c>
      <c r="D37" s="15" t="s">
        <v>8</v>
      </c>
      <c r="E37" s="40">
        <f aca="true" t="shared" si="10" ref="E37:E61">J37*0.8</f>
        <v>65.82850560000001</v>
      </c>
      <c r="F37" s="41">
        <f t="shared" si="6"/>
        <v>7634.7900794880015</v>
      </c>
      <c r="G37" s="41">
        <f aca="true" t="shared" si="11" ref="G37:G61">J37*0.2</f>
        <v>16.457126400000003</v>
      </c>
      <c r="H37" s="41">
        <f t="shared" si="7"/>
        <v>1908.6975198720004</v>
      </c>
      <c r="I37" s="55">
        <f t="shared" si="8"/>
        <v>9543.487599360002</v>
      </c>
      <c r="J37" s="222">
        <f t="shared" si="9"/>
        <v>82.285632</v>
      </c>
      <c r="K37" s="37">
        <v>65.12</v>
      </c>
      <c r="L37" s="240" t="s">
        <v>133</v>
      </c>
      <c r="M37" s="29"/>
    </row>
    <row r="38" spans="1:13" ht="25.5">
      <c r="A38" s="14">
        <v>2.4</v>
      </c>
      <c r="B38" s="106" t="s">
        <v>124</v>
      </c>
      <c r="C38" s="25">
        <v>1654</v>
      </c>
      <c r="D38" s="15" t="s">
        <v>10</v>
      </c>
      <c r="E38" s="40">
        <f t="shared" si="10"/>
        <v>18.933782400000002</v>
      </c>
      <c r="F38" s="41">
        <f t="shared" si="6"/>
        <v>31316.476089600004</v>
      </c>
      <c r="G38" s="41">
        <f t="shared" si="11"/>
        <v>4.7334456000000005</v>
      </c>
      <c r="H38" s="41">
        <f t="shared" si="7"/>
        <v>7829.119022400001</v>
      </c>
      <c r="I38" s="55">
        <f t="shared" si="8"/>
        <v>39145.595112</v>
      </c>
      <c r="J38" s="222">
        <f t="shared" si="9"/>
        <v>23.667228</v>
      </c>
      <c r="K38" s="37">
        <v>18.73</v>
      </c>
      <c r="L38" s="240" t="s">
        <v>134</v>
      </c>
      <c r="M38" s="29"/>
    </row>
    <row r="39" spans="1:13" ht="25.5">
      <c r="A39" s="14">
        <v>2.5</v>
      </c>
      <c r="B39" s="106" t="s">
        <v>123</v>
      </c>
      <c r="C39" s="25">
        <v>265</v>
      </c>
      <c r="D39" s="15" t="s">
        <v>10</v>
      </c>
      <c r="E39" s="40">
        <f t="shared" si="10"/>
        <v>38.18093760000001</v>
      </c>
      <c r="F39" s="41">
        <f t="shared" si="6"/>
        <v>10117.948464000003</v>
      </c>
      <c r="G39" s="41">
        <f t="shared" si="11"/>
        <v>9.545234400000002</v>
      </c>
      <c r="H39" s="41">
        <f t="shared" si="7"/>
        <v>2529.4871160000007</v>
      </c>
      <c r="I39" s="55">
        <f t="shared" si="8"/>
        <v>12647.435580000003</v>
      </c>
      <c r="J39" s="222">
        <f t="shared" si="9"/>
        <v>47.726172000000005</v>
      </c>
      <c r="K39" s="37">
        <v>37.77</v>
      </c>
      <c r="L39" s="240" t="s">
        <v>135</v>
      </c>
      <c r="M39" s="29"/>
    </row>
    <row r="40" spans="1:13" ht="26.25" customHeight="1">
      <c r="A40" s="14">
        <v>2.6</v>
      </c>
      <c r="B40" s="106" t="s">
        <v>125</v>
      </c>
      <c r="C40" s="25">
        <v>14</v>
      </c>
      <c r="D40" s="15" t="s">
        <v>10</v>
      </c>
      <c r="E40" s="40">
        <f t="shared" si="10"/>
        <v>63.210326400000014</v>
      </c>
      <c r="F40" s="41">
        <f t="shared" si="6"/>
        <v>884.9445696000002</v>
      </c>
      <c r="G40" s="41">
        <f t="shared" si="11"/>
        <v>15.802581600000003</v>
      </c>
      <c r="H40" s="41">
        <f t="shared" si="7"/>
        <v>221.23614240000006</v>
      </c>
      <c r="I40" s="55">
        <f t="shared" si="8"/>
        <v>1106.1807120000003</v>
      </c>
      <c r="J40" s="222">
        <f t="shared" si="9"/>
        <v>79.01290800000001</v>
      </c>
      <c r="K40" s="37">
        <v>62.53</v>
      </c>
      <c r="L40" s="240" t="s">
        <v>136</v>
      </c>
      <c r="M40" s="29"/>
    </row>
    <row r="41" spans="1:13" ht="27">
      <c r="A41" s="14">
        <v>2.7</v>
      </c>
      <c r="B41" s="182" t="s">
        <v>140</v>
      </c>
      <c r="C41" s="25">
        <v>13</v>
      </c>
      <c r="D41" s="15" t="s">
        <v>17</v>
      </c>
      <c r="E41" s="40">
        <f t="shared" si="10"/>
        <v>53.77881600000002</v>
      </c>
      <c r="F41" s="41">
        <f t="shared" si="6"/>
        <v>699.1246080000003</v>
      </c>
      <c r="G41" s="41">
        <f t="shared" si="11"/>
        <v>13.444704000000005</v>
      </c>
      <c r="H41" s="41">
        <f t="shared" si="7"/>
        <v>174.78115200000008</v>
      </c>
      <c r="I41" s="55">
        <f t="shared" si="8"/>
        <v>873.9057600000003</v>
      </c>
      <c r="J41" s="222">
        <f t="shared" si="9"/>
        <v>67.22352000000002</v>
      </c>
      <c r="K41" s="37">
        <v>53.20000000000001</v>
      </c>
      <c r="L41" s="240" t="s">
        <v>166</v>
      </c>
      <c r="M41" s="29"/>
    </row>
    <row r="42" spans="1:13" ht="27">
      <c r="A42" s="14">
        <v>2.8</v>
      </c>
      <c r="B42" s="108" t="s">
        <v>153</v>
      </c>
      <c r="C42" s="25">
        <v>7</v>
      </c>
      <c r="D42" s="15" t="s">
        <v>17</v>
      </c>
      <c r="E42" s="40">
        <f t="shared" si="10"/>
        <v>134.9069904</v>
      </c>
      <c r="F42" s="41">
        <f t="shared" si="6"/>
        <v>944.3489328000001</v>
      </c>
      <c r="G42" s="41">
        <f t="shared" si="11"/>
        <v>33.7267476</v>
      </c>
      <c r="H42" s="41">
        <f t="shared" si="7"/>
        <v>236.08723320000001</v>
      </c>
      <c r="I42" s="55">
        <f t="shared" si="8"/>
        <v>1180.436166</v>
      </c>
      <c r="J42" s="222">
        <f t="shared" si="9"/>
        <v>168.63373800000002</v>
      </c>
      <c r="K42" s="37">
        <v>133.455</v>
      </c>
      <c r="L42" s="240" t="s">
        <v>166</v>
      </c>
      <c r="M42" s="29"/>
    </row>
    <row r="43" spans="1:13" ht="27">
      <c r="A43" s="14">
        <v>2.9</v>
      </c>
      <c r="B43" s="108" t="s">
        <v>152</v>
      </c>
      <c r="C43" s="25">
        <v>3</v>
      </c>
      <c r="D43" s="15" t="s">
        <v>17</v>
      </c>
      <c r="E43" s="40">
        <f t="shared" si="10"/>
        <v>210.16195200000004</v>
      </c>
      <c r="F43" s="41">
        <f t="shared" si="6"/>
        <v>630.4858560000001</v>
      </c>
      <c r="G43" s="41">
        <f t="shared" si="11"/>
        <v>52.54048800000001</v>
      </c>
      <c r="H43" s="41">
        <f t="shared" si="7"/>
        <v>157.62146400000003</v>
      </c>
      <c r="I43" s="55">
        <f t="shared" si="8"/>
        <v>788.1073200000002</v>
      </c>
      <c r="J43" s="222">
        <f t="shared" si="9"/>
        <v>262.70244</v>
      </c>
      <c r="K43" s="37">
        <v>207.9</v>
      </c>
      <c r="L43" s="240" t="s">
        <v>166</v>
      </c>
      <c r="M43" s="29"/>
    </row>
    <row r="44" spans="1:13" ht="27">
      <c r="A44" s="188">
        <v>2.1</v>
      </c>
      <c r="B44" s="108" t="s">
        <v>155</v>
      </c>
      <c r="C44" s="25">
        <v>3</v>
      </c>
      <c r="D44" s="15" t="s">
        <v>17</v>
      </c>
      <c r="E44" s="40">
        <f t="shared" si="10"/>
        <v>106.83586367999999</v>
      </c>
      <c r="F44" s="41">
        <f t="shared" si="6"/>
        <v>320.50759103999997</v>
      </c>
      <c r="G44" s="41">
        <f t="shared" si="11"/>
        <v>26.708965919999997</v>
      </c>
      <c r="H44" s="41">
        <f t="shared" si="7"/>
        <v>80.12689775999999</v>
      </c>
      <c r="I44" s="55">
        <f t="shared" si="8"/>
        <v>400.6344888</v>
      </c>
      <c r="J44" s="222">
        <f t="shared" si="9"/>
        <v>133.54482959999999</v>
      </c>
      <c r="K44" s="37">
        <v>105.68599999999999</v>
      </c>
      <c r="L44" s="240" t="s">
        <v>166</v>
      </c>
      <c r="M44" s="29"/>
    </row>
    <row r="45" spans="1:13" ht="27">
      <c r="A45" s="14">
        <v>2.11</v>
      </c>
      <c r="B45" s="108" t="s">
        <v>156</v>
      </c>
      <c r="C45" s="25">
        <v>1</v>
      </c>
      <c r="D45" s="15" t="s">
        <v>17</v>
      </c>
      <c r="E45" s="40">
        <f t="shared" si="10"/>
        <v>146.476512</v>
      </c>
      <c r="F45" s="41">
        <f t="shared" si="6"/>
        <v>146.476512</v>
      </c>
      <c r="G45" s="41">
        <f t="shared" si="11"/>
        <v>36.619128</v>
      </c>
      <c r="H45" s="41">
        <f t="shared" si="7"/>
        <v>36.619128</v>
      </c>
      <c r="I45" s="55">
        <f t="shared" si="8"/>
        <v>183.09564</v>
      </c>
      <c r="J45" s="222">
        <f t="shared" si="9"/>
        <v>183.09564</v>
      </c>
      <c r="K45" s="37">
        <v>144.9</v>
      </c>
      <c r="L45" s="240" t="s">
        <v>166</v>
      </c>
      <c r="M45" s="29"/>
    </row>
    <row r="46" spans="1:13" ht="27">
      <c r="A46" s="14">
        <v>2.12</v>
      </c>
      <c r="B46" s="108" t="s">
        <v>157</v>
      </c>
      <c r="C46" s="25">
        <v>4</v>
      </c>
      <c r="D46" s="15" t="s">
        <v>17</v>
      </c>
      <c r="E46" s="40">
        <f t="shared" si="10"/>
        <v>99.79154640000002</v>
      </c>
      <c r="F46" s="41">
        <f t="shared" si="6"/>
        <v>399.16618560000006</v>
      </c>
      <c r="G46" s="41">
        <f t="shared" si="11"/>
        <v>24.947886600000004</v>
      </c>
      <c r="H46" s="41">
        <f t="shared" si="7"/>
        <v>99.79154640000002</v>
      </c>
      <c r="I46" s="55">
        <f t="shared" si="8"/>
        <v>498.9577320000001</v>
      </c>
      <c r="J46" s="222">
        <f t="shared" si="9"/>
        <v>124.73943300000002</v>
      </c>
      <c r="K46" s="37">
        <v>98.71750000000002</v>
      </c>
      <c r="L46" s="240" t="s">
        <v>166</v>
      </c>
      <c r="M46" s="29"/>
    </row>
    <row r="47" spans="1:13" ht="27">
      <c r="A47" s="14">
        <v>2.13</v>
      </c>
      <c r="B47" s="108" t="s">
        <v>158</v>
      </c>
      <c r="C47" s="25">
        <v>3</v>
      </c>
      <c r="D47" s="15" t="s">
        <v>17</v>
      </c>
      <c r="E47" s="40">
        <f t="shared" si="10"/>
        <v>143.29224000000002</v>
      </c>
      <c r="F47" s="41">
        <f t="shared" si="6"/>
        <v>429.8767200000001</v>
      </c>
      <c r="G47" s="41">
        <f t="shared" si="11"/>
        <v>35.823060000000005</v>
      </c>
      <c r="H47" s="41">
        <f t="shared" si="7"/>
        <v>107.46918000000002</v>
      </c>
      <c r="I47" s="55">
        <f t="shared" si="8"/>
        <v>537.3459000000001</v>
      </c>
      <c r="J47" s="222">
        <f t="shared" si="9"/>
        <v>179.11530000000002</v>
      </c>
      <c r="K47" s="37">
        <v>141.75</v>
      </c>
      <c r="L47" s="240" t="s">
        <v>166</v>
      </c>
      <c r="M47" s="29"/>
    </row>
    <row r="48" spans="1:13" ht="27">
      <c r="A48" s="14">
        <v>2.14</v>
      </c>
      <c r="B48" s="108" t="s">
        <v>149</v>
      </c>
      <c r="C48" s="25">
        <v>1</v>
      </c>
      <c r="D48" s="15" t="s">
        <v>17</v>
      </c>
      <c r="E48" s="40">
        <f t="shared" si="10"/>
        <v>165.7944288</v>
      </c>
      <c r="F48" s="41">
        <f t="shared" si="6"/>
        <v>165.7944288</v>
      </c>
      <c r="G48" s="41">
        <f t="shared" si="11"/>
        <v>41.4486072</v>
      </c>
      <c r="H48" s="41">
        <f t="shared" si="7"/>
        <v>41.4486072</v>
      </c>
      <c r="I48" s="55">
        <f t="shared" si="8"/>
        <v>207.243036</v>
      </c>
      <c r="J48" s="222">
        <f t="shared" si="9"/>
        <v>207.243036</v>
      </c>
      <c r="K48" s="37">
        <v>164.01</v>
      </c>
      <c r="L48" s="240" t="s">
        <v>166</v>
      </c>
      <c r="M48" s="29"/>
    </row>
    <row r="49" spans="1:13" ht="27">
      <c r="A49" s="14">
        <v>2.15</v>
      </c>
      <c r="B49" s="108" t="s">
        <v>150</v>
      </c>
      <c r="C49" s="25">
        <v>1</v>
      </c>
      <c r="D49" s="15" t="s">
        <v>17</v>
      </c>
      <c r="E49" s="40">
        <f t="shared" si="10"/>
        <v>95.95272960000001</v>
      </c>
      <c r="F49" s="41">
        <f t="shared" si="6"/>
        <v>95.95272960000001</v>
      </c>
      <c r="G49" s="41">
        <f t="shared" si="11"/>
        <v>23.988182400000003</v>
      </c>
      <c r="H49" s="41">
        <f t="shared" si="7"/>
        <v>23.988182400000003</v>
      </c>
      <c r="I49" s="55">
        <f t="shared" si="8"/>
        <v>119.94091200000001</v>
      </c>
      <c r="J49" s="222">
        <f t="shared" si="9"/>
        <v>119.94091200000001</v>
      </c>
      <c r="K49" s="37">
        <v>94.92</v>
      </c>
      <c r="L49" s="240" t="s">
        <v>166</v>
      </c>
      <c r="M49" s="29"/>
    </row>
    <row r="50" spans="1:13" ht="27">
      <c r="A50" s="14">
        <v>2.16</v>
      </c>
      <c r="B50" s="108" t="s">
        <v>154</v>
      </c>
      <c r="C50" s="25">
        <v>1</v>
      </c>
      <c r="D50" s="15" t="s">
        <v>17</v>
      </c>
      <c r="E50" s="40">
        <f t="shared" si="10"/>
        <v>161.86716</v>
      </c>
      <c r="F50" s="41">
        <f t="shared" si="6"/>
        <v>161.86716</v>
      </c>
      <c r="G50" s="41">
        <f t="shared" si="11"/>
        <v>40.46679</v>
      </c>
      <c r="H50" s="41">
        <f t="shared" si="7"/>
        <v>40.46679</v>
      </c>
      <c r="I50" s="55">
        <f t="shared" si="8"/>
        <v>202.33395000000002</v>
      </c>
      <c r="J50" s="222">
        <f t="shared" si="9"/>
        <v>202.33395000000002</v>
      </c>
      <c r="K50" s="37">
        <v>160.125</v>
      </c>
      <c r="L50" s="240" t="s">
        <v>166</v>
      </c>
      <c r="M50" s="29"/>
    </row>
    <row r="51" spans="1:13" ht="27">
      <c r="A51" s="14">
        <v>2.17</v>
      </c>
      <c r="B51" s="108" t="s">
        <v>151</v>
      </c>
      <c r="C51" s="25">
        <v>2</v>
      </c>
      <c r="D51" s="15" t="s">
        <v>17</v>
      </c>
      <c r="E51" s="40">
        <f t="shared" si="10"/>
        <v>161.86716</v>
      </c>
      <c r="F51" s="41">
        <f t="shared" si="6"/>
        <v>323.73432</v>
      </c>
      <c r="G51" s="41">
        <f t="shared" si="11"/>
        <v>40.46679</v>
      </c>
      <c r="H51" s="41">
        <f t="shared" si="7"/>
        <v>80.93358</v>
      </c>
      <c r="I51" s="55">
        <f t="shared" si="8"/>
        <v>404.66790000000003</v>
      </c>
      <c r="J51" s="222">
        <f t="shared" si="9"/>
        <v>202.33395000000002</v>
      </c>
      <c r="K51" s="37">
        <v>160.125</v>
      </c>
      <c r="L51" s="240" t="s">
        <v>166</v>
      </c>
      <c r="M51" s="29"/>
    </row>
    <row r="52" spans="1:13" ht="30.75" customHeight="1">
      <c r="A52" s="14">
        <v>2.18</v>
      </c>
      <c r="B52" s="108" t="s">
        <v>159</v>
      </c>
      <c r="C52" s="25">
        <v>1</v>
      </c>
      <c r="D52" s="15" t="s">
        <v>17</v>
      </c>
      <c r="E52" s="40">
        <f t="shared" si="10"/>
        <v>161.86716</v>
      </c>
      <c r="F52" s="41">
        <f t="shared" si="6"/>
        <v>161.86716</v>
      </c>
      <c r="G52" s="41">
        <f t="shared" si="11"/>
        <v>40.46679</v>
      </c>
      <c r="H52" s="41">
        <f t="shared" si="7"/>
        <v>40.46679</v>
      </c>
      <c r="I52" s="55">
        <f t="shared" si="8"/>
        <v>202.33395000000002</v>
      </c>
      <c r="J52" s="222">
        <f t="shared" si="9"/>
        <v>202.33395000000002</v>
      </c>
      <c r="K52" s="37">
        <v>160.125</v>
      </c>
      <c r="L52" s="240" t="s">
        <v>166</v>
      </c>
      <c r="M52" s="29"/>
    </row>
    <row r="53" spans="1:13" ht="23.25" customHeight="1">
      <c r="A53" s="14">
        <v>2.19</v>
      </c>
      <c r="B53" s="207" t="s">
        <v>241</v>
      </c>
      <c r="C53" s="25">
        <v>2</v>
      </c>
      <c r="D53" s="15" t="s">
        <v>17</v>
      </c>
      <c r="E53" s="40">
        <f t="shared" si="10"/>
        <v>148.91273280000001</v>
      </c>
      <c r="F53" s="41">
        <f>C53*E53</f>
        <v>297.82546560000003</v>
      </c>
      <c r="G53" s="41">
        <f>J53*0.2</f>
        <v>37.228183200000004</v>
      </c>
      <c r="H53" s="41">
        <f>C53*G53</f>
        <v>74.45636640000001</v>
      </c>
      <c r="I53" s="55">
        <f>F53+H53</f>
        <v>372.281832</v>
      </c>
      <c r="J53" s="222">
        <f>K53*$M$8</f>
        <v>186.140916</v>
      </c>
      <c r="K53" s="37">
        <v>147.31</v>
      </c>
      <c r="L53" s="241" t="s">
        <v>246</v>
      </c>
      <c r="M53" s="29"/>
    </row>
    <row r="54" spans="1:13" ht="44.25" customHeight="1">
      <c r="A54" s="188">
        <v>2.2</v>
      </c>
      <c r="B54" s="208" t="s">
        <v>242</v>
      </c>
      <c r="C54" s="25">
        <v>140</v>
      </c>
      <c r="D54" s="15" t="s">
        <v>17</v>
      </c>
      <c r="E54" s="40">
        <f t="shared" si="10"/>
        <v>7.7130144000000005</v>
      </c>
      <c r="F54" s="41">
        <f>C54*E54</f>
        <v>1079.822016</v>
      </c>
      <c r="G54" s="41">
        <f>J54*0.2</f>
        <v>1.9282536000000001</v>
      </c>
      <c r="H54" s="41">
        <f>C54*G54</f>
        <v>269.955504</v>
      </c>
      <c r="I54" s="55">
        <f>F54+H54</f>
        <v>1349.77752</v>
      </c>
      <c r="J54" s="222">
        <f>K54*$M$8</f>
        <v>9.641268</v>
      </c>
      <c r="K54" s="37">
        <v>7.63</v>
      </c>
      <c r="L54" s="241" t="s">
        <v>245</v>
      </c>
      <c r="M54" s="29"/>
    </row>
    <row r="55" spans="1:13" ht="33" customHeight="1">
      <c r="A55" s="14">
        <v>2.21</v>
      </c>
      <c r="B55" s="208" t="s">
        <v>243</v>
      </c>
      <c r="C55" s="25">
        <v>280</v>
      </c>
      <c r="D55" s="15" t="s">
        <v>10</v>
      </c>
      <c r="E55" s="40">
        <f t="shared" si="10"/>
        <v>2.8001376000000002</v>
      </c>
      <c r="F55" s="41">
        <f>C55*E55</f>
        <v>784.038528</v>
      </c>
      <c r="G55" s="41">
        <f>J55*0.2</f>
        <v>0.7000344000000001</v>
      </c>
      <c r="H55" s="41">
        <f>C55*G55</f>
        <v>196.009632</v>
      </c>
      <c r="I55" s="55">
        <f>F55+H55</f>
        <v>980.04816</v>
      </c>
      <c r="J55" s="222">
        <f>K55*$M$8</f>
        <v>3.500172</v>
      </c>
      <c r="K55" s="37">
        <v>2.77</v>
      </c>
      <c r="L55" s="241" t="s">
        <v>244</v>
      </c>
      <c r="M55" s="29"/>
    </row>
    <row r="56" spans="1:13" ht="42" customHeight="1">
      <c r="A56" s="14">
        <v>2.22</v>
      </c>
      <c r="B56" s="108" t="s">
        <v>160</v>
      </c>
      <c r="C56" s="25">
        <v>1</v>
      </c>
      <c r="D56" s="15" t="s">
        <v>17</v>
      </c>
      <c r="E56" s="40">
        <f t="shared" si="10"/>
        <v>568.9232640000001</v>
      </c>
      <c r="F56" s="41">
        <f t="shared" si="6"/>
        <v>568.9232640000001</v>
      </c>
      <c r="G56" s="41">
        <f t="shared" si="11"/>
        <v>142.23081600000003</v>
      </c>
      <c r="H56" s="41">
        <f t="shared" si="7"/>
        <v>142.23081600000003</v>
      </c>
      <c r="I56" s="55">
        <f t="shared" si="8"/>
        <v>711.1540800000001</v>
      </c>
      <c r="J56" s="222">
        <f t="shared" si="9"/>
        <v>711.1540800000001</v>
      </c>
      <c r="K56" s="37">
        <v>562.8000000000001</v>
      </c>
      <c r="L56" s="240" t="s">
        <v>166</v>
      </c>
      <c r="M56" s="29"/>
    </row>
    <row r="57" spans="1:13" ht="18.75" customHeight="1">
      <c r="A57" s="188">
        <v>2.23</v>
      </c>
      <c r="B57" s="108" t="s">
        <v>161</v>
      </c>
      <c r="C57" s="25">
        <v>3</v>
      </c>
      <c r="D57" s="15" t="s">
        <v>17</v>
      </c>
      <c r="E57" s="40">
        <f t="shared" si="10"/>
        <v>79.6068</v>
      </c>
      <c r="F57" s="41">
        <f t="shared" si="6"/>
        <v>238.8204</v>
      </c>
      <c r="G57" s="41">
        <f t="shared" si="11"/>
        <v>19.9017</v>
      </c>
      <c r="H57" s="41">
        <f t="shared" si="7"/>
        <v>59.7051</v>
      </c>
      <c r="I57" s="55">
        <f t="shared" si="8"/>
        <v>298.5255</v>
      </c>
      <c r="J57" s="222">
        <f t="shared" si="9"/>
        <v>99.5085</v>
      </c>
      <c r="K57" s="37">
        <v>78.75</v>
      </c>
      <c r="L57" s="240" t="s">
        <v>166</v>
      </c>
      <c r="M57" s="29"/>
    </row>
    <row r="58" spans="1:13" ht="27.75" customHeight="1">
      <c r="A58" s="14">
        <v>2.24</v>
      </c>
      <c r="B58" s="108" t="s">
        <v>162</v>
      </c>
      <c r="C58" s="25">
        <v>3</v>
      </c>
      <c r="D58" s="15" t="s">
        <v>17</v>
      </c>
      <c r="E58" s="40">
        <f t="shared" si="10"/>
        <v>98.71243200000004</v>
      </c>
      <c r="F58" s="41">
        <f t="shared" si="6"/>
        <v>296.1372960000001</v>
      </c>
      <c r="G58" s="41">
        <f t="shared" si="11"/>
        <v>24.67810800000001</v>
      </c>
      <c r="H58" s="41">
        <f t="shared" si="7"/>
        <v>74.03432400000003</v>
      </c>
      <c r="I58" s="55">
        <f t="shared" si="8"/>
        <v>370.17162000000013</v>
      </c>
      <c r="J58" s="222">
        <f t="shared" si="9"/>
        <v>123.39054000000003</v>
      </c>
      <c r="K58" s="37">
        <v>97.65000000000002</v>
      </c>
      <c r="L58" s="240" t="s">
        <v>166</v>
      </c>
      <c r="M58" s="29"/>
    </row>
    <row r="59" spans="1:13" ht="15">
      <c r="A59" s="14">
        <v>2.25</v>
      </c>
      <c r="B59" s="108" t="s">
        <v>163</v>
      </c>
      <c r="C59" s="25">
        <v>3</v>
      </c>
      <c r="D59" s="15" t="s">
        <v>17</v>
      </c>
      <c r="E59" s="40">
        <f t="shared" si="10"/>
        <v>143.29224000000002</v>
      </c>
      <c r="F59" s="41">
        <f t="shared" si="6"/>
        <v>429.8767200000001</v>
      </c>
      <c r="G59" s="41">
        <f t="shared" si="11"/>
        <v>35.823060000000005</v>
      </c>
      <c r="H59" s="41">
        <f t="shared" si="7"/>
        <v>107.46918000000002</v>
      </c>
      <c r="I59" s="55">
        <f t="shared" si="8"/>
        <v>537.3459000000001</v>
      </c>
      <c r="J59" s="222">
        <f t="shared" si="9"/>
        <v>179.11530000000002</v>
      </c>
      <c r="K59" s="37">
        <v>141.75</v>
      </c>
      <c r="L59" s="240" t="s">
        <v>166</v>
      </c>
      <c r="M59" s="29"/>
    </row>
    <row r="60" spans="1:13" ht="18" customHeight="1">
      <c r="A60" s="14">
        <v>2.26</v>
      </c>
      <c r="B60" s="108" t="s">
        <v>164</v>
      </c>
      <c r="C60" s="25">
        <v>1</v>
      </c>
      <c r="D60" s="15" t="s">
        <v>17</v>
      </c>
      <c r="E60" s="40">
        <f t="shared" si="10"/>
        <v>2388.204</v>
      </c>
      <c r="F60" s="41">
        <f t="shared" si="6"/>
        <v>2388.204</v>
      </c>
      <c r="G60" s="41">
        <f t="shared" si="11"/>
        <v>597.051</v>
      </c>
      <c r="H60" s="41">
        <f t="shared" si="7"/>
        <v>597.051</v>
      </c>
      <c r="I60" s="55">
        <f t="shared" si="8"/>
        <v>2985.255</v>
      </c>
      <c r="J60" s="222">
        <f t="shared" si="9"/>
        <v>2985.255</v>
      </c>
      <c r="K60" s="37">
        <v>2362.5</v>
      </c>
      <c r="L60" s="240" t="s">
        <v>166</v>
      </c>
      <c r="M60" s="29"/>
    </row>
    <row r="61" spans="1:13" ht="27">
      <c r="A61" s="14">
        <v>2.27</v>
      </c>
      <c r="B61" s="110" t="s">
        <v>165</v>
      </c>
      <c r="C61" s="25">
        <v>2</v>
      </c>
      <c r="D61" s="15" t="s">
        <v>17</v>
      </c>
      <c r="E61" s="40">
        <f t="shared" si="10"/>
        <v>780.14664</v>
      </c>
      <c r="F61" s="41">
        <f t="shared" si="6"/>
        <v>1560.29328</v>
      </c>
      <c r="G61" s="41">
        <f t="shared" si="11"/>
        <v>195.03666</v>
      </c>
      <c r="H61" s="41">
        <f t="shared" si="7"/>
        <v>390.07332</v>
      </c>
      <c r="I61" s="55">
        <f t="shared" si="8"/>
        <v>1950.3666</v>
      </c>
      <c r="J61" s="222">
        <f t="shared" si="9"/>
        <v>975.1833</v>
      </c>
      <c r="K61" s="37">
        <v>771.75</v>
      </c>
      <c r="L61" s="240" t="s">
        <v>166</v>
      </c>
      <c r="M61" s="29"/>
    </row>
    <row r="62" spans="1:13" ht="66.75" customHeight="1">
      <c r="A62" s="14">
        <v>2.28</v>
      </c>
      <c r="B62" s="106" t="s">
        <v>129</v>
      </c>
      <c r="C62" s="25">
        <v>1654</v>
      </c>
      <c r="D62" s="15" t="s">
        <v>10</v>
      </c>
      <c r="E62" s="40">
        <f>J62*0.8</f>
        <v>1.6578432</v>
      </c>
      <c r="F62" s="41">
        <f t="shared" si="6"/>
        <v>2742.0726528</v>
      </c>
      <c r="G62" s="41">
        <f>J62*0.2</f>
        <v>0.4144608</v>
      </c>
      <c r="H62" s="41">
        <f t="shared" si="7"/>
        <v>685.5181632</v>
      </c>
      <c r="I62" s="55">
        <f t="shared" si="8"/>
        <v>3427.590816</v>
      </c>
      <c r="J62" s="222">
        <f t="shared" si="9"/>
        <v>2.072304</v>
      </c>
      <c r="K62" s="37">
        <v>1.64</v>
      </c>
      <c r="L62" s="240" t="s">
        <v>126</v>
      </c>
      <c r="M62" s="29"/>
    </row>
    <row r="63" spans="1:13" ht="64.5" customHeight="1">
      <c r="A63" s="14">
        <v>2.29</v>
      </c>
      <c r="B63" s="106" t="s">
        <v>130</v>
      </c>
      <c r="C63" s="25">
        <v>265</v>
      </c>
      <c r="D63" s="15" t="s">
        <v>10</v>
      </c>
      <c r="E63" s="40">
        <f>J63*0.8</f>
        <v>2.3149152</v>
      </c>
      <c r="F63" s="41">
        <f t="shared" si="6"/>
        <v>613.452528</v>
      </c>
      <c r="G63" s="41">
        <f>J63*0.2</f>
        <v>0.5787288</v>
      </c>
      <c r="H63" s="41">
        <f t="shared" si="7"/>
        <v>153.363132</v>
      </c>
      <c r="I63" s="55">
        <f t="shared" si="8"/>
        <v>766.81566</v>
      </c>
      <c r="J63" s="222">
        <f t="shared" si="9"/>
        <v>2.893644</v>
      </c>
      <c r="K63" s="37">
        <v>2.29</v>
      </c>
      <c r="L63" s="240" t="s">
        <v>127</v>
      </c>
      <c r="M63" s="29"/>
    </row>
    <row r="64" spans="1:13" ht="76.5">
      <c r="A64" s="14">
        <v>2.3</v>
      </c>
      <c r="B64" s="106" t="s">
        <v>131</v>
      </c>
      <c r="C64" s="25">
        <v>14</v>
      </c>
      <c r="D64" s="15" t="s">
        <v>10</v>
      </c>
      <c r="E64" s="40">
        <f>J64*0.8</f>
        <v>2.931552</v>
      </c>
      <c r="F64" s="41">
        <f t="shared" si="6"/>
        <v>41.041728</v>
      </c>
      <c r="G64" s="41">
        <f>J64*0.2</f>
        <v>0.732888</v>
      </c>
      <c r="H64" s="41">
        <f t="shared" si="7"/>
        <v>10.260432</v>
      </c>
      <c r="I64" s="55">
        <f t="shared" si="8"/>
        <v>51.30216</v>
      </c>
      <c r="J64" s="222">
        <f t="shared" si="9"/>
        <v>3.66444</v>
      </c>
      <c r="K64" s="37">
        <v>2.9</v>
      </c>
      <c r="L64" s="240" t="s">
        <v>128</v>
      </c>
      <c r="M64" s="29"/>
    </row>
    <row r="65" spans="1:13" ht="92.25" customHeight="1">
      <c r="A65" s="14">
        <v>2.31</v>
      </c>
      <c r="B65" s="106" t="s">
        <v>199</v>
      </c>
      <c r="C65" s="25">
        <v>1043.82</v>
      </c>
      <c r="D65" s="15" t="s">
        <v>8</v>
      </c>
      <c r="E65" s="40">
        <f>J65*0.7</f>
        <v>16.5139884</v>
      </c>
      <c r="F65" s="41">
        <f t="shared" si="6"/>
        <v>17237.631371688</v>
      </c>
      <c r="G65" s="41">
        <f>J65*0.3</f>
        <v>7.0774236</v>
      </c>
      <c r="H65" s="41">
        <f t="shared" si="7"/>
        <v>7387.556302152</v>
      </c>
      <c r="I65" s="55">
        <f t="shared" si="8"/>
        <v>24625.18767384</v>
      </c>
      <c r="J65" s="222">
        <f t="shared" si="9"/>
        <v>23.591412000000002</v>
      </c>
      <c r="K65" s="37">
        <v>18.67</v>
      </c>
      <c r="L65" s="240" t="s">
        <v>122</v>
      </c>
      <c r="M65" s="29"/>
    </row>
    <row r="66" spans="1:13" ht="25.5">
      <c r="A66" s="51">
        <v>2.32</v>
      </c>
      <c r="B66" s="190" t="s">
        <v>132</v>
      </c>
      <c r="C66" s="191">
        <v>1043.82</v>
      </c>
      <c r="D66" s="19" t="s">
        <v>8</v>
      </c>
      <c r="E66" s="193">
        <f>J66*0.7</f>
        <v>3.9891851999999997</v>
      </c>
      <c r="F66" s="193">
        <f t="shared" si="6"/>
        <v>4163.991295463999</v>
      </c>
      <c r="G66" s="193">
        <f>J66*0.3</f>
        <v>1.7096508</v>
      </c>
      <c r="H66" s="193">
        <f t="shared" si="7"/>
        <v>1784.5676980559997</v>
      </c>
      <c r="I66" s="194">
        <f>SUM(F66+H66)</f>
        <v>5948.558993519999</v>
      </c>
      <c r="J66" s="249">
        <f t="shared" si="9"/>
        <v>5.698836</v>
      </c>
      <c r="K66" s="52">
        <v>4.51</v>
      </c>
      <c r="L66" s="250" t="s">
        <v>55</v>
      </c>
      <c r="M66" s="29"/>
    </row>
    <row r="67" spans="1:13" ht="15.75" thickBot="1">
      <c r="A67" s="73"/>
      <c r="B67" s="74" t="s">
        <v>18</v>
      </c>
      <c r="C67" s="75"/>
      <c r="D67" s="76"/>
      <c r="E67" s="77"/>
      <c r="F67" s="78">
        <f>SUM(F35:F66)</f>
        <v>101781.32923296</v>
      </c>
      <c r="G67" s="77"/>
      <c r="H67" s="78">
        <f>SUM(H35:H66)</f>
        <v>31928.807298959997</v>
      </c>
      <c r="I67" s="79">
        <f>SUM(I35:I66)</f>
        <v>133710.13653192</v>
      </c>
      <c r="J67" s="251"/>
      <c r="K67" s="252"/>
      <c r="L67" s="253"/>
      <c r="M67" s="29"/>
    </row>
    <row r="68" spans="1:13" ht="15.75" thickBot="1">
      <c r="A68" s="230">
        <v>3</v>
      </c>
      <c r="B68" s="231" t="s">
        <v>201</v>
      </c>
      <c r="C68" s="232"/>
      <c r="D68" s="85"/>
      <c r="E68" s="85"/>
      <c r="F68" s="233"/>
      <c r="G68" s="85"/>
      <c r="H68" s="233"/>
      <c r="I68" s="234"/>
      <c r="J68" s="256"/>
      <c r="K68" s="246"/>
      <c r="L68" s="247"/>
      <c r="M68" s="29"/>
    </row>
    <row r="69" spans="1:13" ht="89.25">
      <c r="A69" s="127">
        <v>3.1</v>
      </c>
      <c r="B69" s="114" t="s">
        <v>226</v>
      </c>
      <c r="C69" s="113">
        <v>25</v>
      </c>
      <c r="D69" s="49" t="s">
        <v>8</v>
      </c>
      <c r="E69" s="227">
        <f>J69*0.7</f>
        <v>8.305642800000001</v>
      </c>
      <c r="F69" s="228">
        <f>C69*E69</f>
        <v>207.64107</v>
      </c>
      <c r="G69" s="228">
        <f>J69*0.3</f>
        <v>3.5595612000000005</v>
      </c>
      <c r="H69" s="228">
        <f>C69*G69</f>
        <v>88.98903000000001</v>
      </c>
      <c r="I69" s="229">
        <f>F69+H69</f>
        <v>296.6301</v>
      </c>
      <c r="J69" s="274">
        <f>K69*$M$8</f>
        <v>11.865204000000002</v>
      </c>
      <c r="K69" s="275">
        <v>9.39</v>
      </c>
      <c r="L69" s="276" t="s">
        <v>120</v>
      </c>
      <c r="M69" s="29"/>
    </row>
    <row r="70" spans="1:13" ht="51">
      <c r="A70" s="14">
        <v>3.2</v>
      </c>
      <c r="B70" s="106" t="s">
        <v>214</v>
      </c>
      <c r="C70" s="25">
        <v>192</v>
      </c>
      <c r="D70" s="15" t="s">
        <v>10</v>
      </c>
      <c r="E70" s="40">
        <f>J70*0.7</f>
        <v>37.238292</v>
      </c>
      <c r="F70" s="41">
        <f>C70*E70</f>
        <v>7149.752064</v>
      </c>
      <c r="G70" s="41">
        <f>J70*0.3</f>
        <v>15.959268</v>
      </c>
      <c r="H70" s="41">
        <f>C70*G70</f>
        <v>3064.179456</v>
      </c>
      <c r="I70" s="55">
        <f>F70+H70</f>
        <v>10213.93152</v>
      </c>
      <c r="J70" s="222">
        <f>K70*$M$8</f>
        <v>53.19756</v>
      </c>
      <c r="K70" s="37">
        <v>42.1</v>
      </c>
      <c r="L70" s="240" t="s">
        <v>213</v>
      </c>
      <c r="M70" s="29"/>
    </row>
    <row r="71" spans="1:13" ht="25.5">
      <c r="A71" s="14">
        <v>3.3</v>
      </c>
      <c r="B71" s="106" t="s">
        <v>218</v>
      </c>
      <c r="C71" s="25">
        <v>197.12</v>
      </c>
      <c r="D71" s="15" t="s">
        <v>30</v>
      </c>
      <c r="E71" s="40">
        <f aca="true" t="shared" si="12" ref="E71:E80">J71*0.7</f>
        <v>10.2250512</v>
      </c>
      <c r="F71" s="41">
        <f>C71*E71</f>
        <v>2015.5620925439998</v>
      </c>
      <c r="G71" s="41">
        <f aca="true" t="shared" si="13" ref="G71:G80">J71*0.3</f>
        <v>4.3821648</v>
      </c>
      <c r="H71" s="41">
        <f>C71*G71</f>
        <v>863.812325376</v>
      </c>
      <c r="I71" s="55">
        <f>F71+H71</f>
        <v>2879.37441792</v>
      </c>
      <c r="J71" s="222">
        <f>K71*$M$8</f>
        <v>14.607216000000001</v>
      </c>
      <c r="K71" s="37">
        <v>11.56</v>
      </c>
      <c r="L71" s="240" t="s">
        <v>216</v>
      </c>
      <c r="M71" s="29"/>
    </row>
    <row r="72" spans="1:13" ht="25.5">
      <c r="A72" s="14">
        <v>3.4</v>
      </c>
      <c r="B72" s="106" t="s">
        <v>219</v>
      </c>
      <c r="C72" s="25">
        <v>460.8</v>
      </c>
      <c r="D72" s="15" t="s">
        <v>30</v>
      </c>
      <c r="E72" s="40">
        <f t="shared" si="12"/>
        <v>6.828494399999999</v>
      </c>
      <c r="F72" s="41">
        <f>C72*E72</f>
        <v>3146.5702195199997</v>
      </c>
      <c r="G72" s="41">
        <f t="shared" si="13"/>
        <v>2.9264976</v>
      </c>
      <c r="H72" s="41">
        <f>C72*G72</f>
        <v>1348.53009408</v>
      </c>
      <c r="I72" s="55">
        <f>F72+H72</f>
        <v>4495.1003136</v>
      </c>
      <c r="J72" s="222">
        <f>K72*$M$8</f>
        <v>9.754992</v>
      </c>
      <c r="K72" s="37">
        <v>7.72</v>
      </c>
      <c r="L72" s="240" t="s">
        <v>217</v>
      </c>
      <c r="M72" s="29"/>
    </row>
    <row r="73" spans="1:13" ht="25.5">
      <c r="A73" s="14">
        <v>3.5</v>
      </c>
      <c r="B73" s="106" t="s">
        <v>212</v>
      </c>
      <c r="C73" s="25">
        <v>8.4</v>
      </c>
      <c r="D73" s="15" t="s">
        <v>8</v>
      </c>
      <c r="E73" s="40">
        <f t="shared" si="12"/>
        <v>323.115156</v>
      </c>
      <c r="F73" s="41">
        <f>C73*E73</f>
        <v>2714.1673104</v>
      </c>
      <c r="G73" s="41">
        <f t="shared" si="13"/>
        <v>138.477924</v>
      </c>
      <c r="H73" s="41">
        <f>C73*G73</f>
        <v>1163.2145616</v>
      </c>
      <c r="I73" s="55">
        <f>F73+H73</f>
        <v>3877.381872</v>
      </c>
      <c r="J73" s="222">
        <f>K73*$M$8</f>
        <v>461.59308000000004</v>
      </c>
      <c r="K73" s="37">
        <v>365.3</v>
      </c>
      <c r="L73" s="240" t="s">
        <v>211</v>
      </c>
      <c r="M73" s="29"/>
    </row>
    <row r="74" spans="1:13" ht="76.5">
      <c r="A74" s="14">
        <v>3.6</v>
      </c>
      <c r="B74" s="39" t="s">
        <v>202</v>
      </c>
      <c r="C74" s="25">
        <v>269</v>
      </c>
      <c r="D74" s="15" t="s">
        <v>14</v>
      </c>
      <c r="E74" s="40">
        <f t="shared" si="12"/>
        <v>56.3969952</v>
      </c>
      <c r="F74" s="41">
        <f aca="true" t="shared" si="14" ref="F74:F80">C74*E74</f>
        <v>15170.7917088</v>
      </c>
      <c r="G74" s="41">
        <f t="shared" si="13"/>
        <v>24.170140800000002</v>
      </c>
      <c r="H74" s="41">
        <f aca="true" t="shared" si="15" ref="H74:H80">C74*G74</f>
        <v>6501.7678752</v>
      </c>
      <c r="I74" s="55">
        <f aca="true" t="shared" si="16" ref="I74:I80">F74+H74</f>
        <v>21672.559584</v>
      </c>
      <c r="J74" s="222">
        <f aca="true" t="shared" si="17" ref="J74:J80">K74*$M$8</f>
        <v>80.567136</v>
      </c>
      <c r="K74" s="37">
        <v>63.76</v>
      </c>
      <c r="L74" s="240" t="s">
        <v>203</v>
      </c>
      <c r="M74" s="29"/>
    </row>
    <row r="75" spans="1:13" ht="80.25" customHeight="1">
      <c r="A75" s="14">
        <v>3.7</v>
      </c>
      <c r="B75" s="39" t="s">
        <v>225</v>
      </c>
      <c r="C75" s="25">
        <v>18.2</v>
      </c>
      <c r="D75" s="15" t="s">
        <v>14</v>
      </c>
      <c r="E75" s="40">
        <f t="shared" si="12"/>
        <v>65.7109908</v>
      </c>
      <c r="F75" s="41">
        <f>C75*E75</f>
        <v>1195.94003256</v>
      </c>
      <c r="G75" s="41">
        <f t="shared" si="13"/>
        <v>28.161853200000003</v>
      </c>
      <c r="H75" s="41">
        <f>C75*G75</f>
        <v>512.54572824</v>
      </c>
      <c r="I75" s="55">
        <f>F75+H75</f>
        <v>1708.4857608</v>
      </c>
      <c r="J75" s="222">
        <f>K75*$M$8</f>
        <v>93.87284400000001</v>
      </c>
      <c r="K75" s="37">
        <v>74.29</v>
      </c>
      <c r="L75" s="240" t="s">
        <v>224</v>
      </c>
      <c r="M75" s="29"/>
    </row>
    <row r="76" spans="1:13" ht="25.5">
      <c r="A76" s="14">
        <v>3.8</v>
      </c>
      <c r="B76" s="106" t="s">
        <v>220</v>
      </c>
      <c r="C76" s="25">
        <v>115.04</v>
      </c>
      <c r="D76" s="15" t="s">
        <v>30</v>
      </c>
      <c r="E76" s="40">
        <f t="shared" si="12"/>
        <v>10.2250512</v>
      </c>
      <c r="F76" s="41">
        <f t="shared" si="14"/>
        <v>1176.289890048</v>
      </c>
      <c r="G76" s="41">
        <f t="shared" si="13"/>
        <v>4.3821648</v>
      </c>
      <c r="H76" s="41">
        <f t="shared" si="15"/>
        <v>504.12423859200004</v>
      </c>
      <c r="I76" s="55">
        <f t="shared" si="16"/>
        <v>1680.41412864</v>
      </c>
      <c r="J76" s="222">
        <f t="shared" si="17"/>
        <v>14.607216000000001</v>
      </c>
      <c r="K76" s="37">
        <v>11.56</v>
      </c>
      <c r="L76" s="240" t="s">
        <v>216</v>
      </c>
      <c r="M76" s="29"/>
    </row>
    <row r="77" spans="1:13" ht="25.5">
      <c r="A77" s="14">
        <v>3.9</v>
      </c>
      <c r="B77" s="106" t="s">
        <v>221</v>
      </c>
      <c r="C77" s="25">
        <v>268.8</v>
      </c>
      <c r="D77" s="15" t="s">
        <v>30</v>
      </c>
      <c r="E77" s="40">
        <f t="shared" si="12"/>
        <v>6.828494399999999</v>
      </c>
      <c r="F77" s="41">
        <f t="shared" si="14"/>
        <v>1835.4992947199999</v>
      </c>
      <c r="G77" s="41">
        <f t="shared" si="13"/>
        <v>2.9264976</v>
      </c>
      <c r="H77" s="41">
        <f t="shared" si="15"/>
        <v>786.64255488</v>
      </c>
      <c r="I77" s="55">
        <f t="shared" si="16"/>
        <v>2622.1418495999997</v>
      </c>
      <c r="J77" s="222">
        <f t="shared" si="17"/>
        <v>9.754992</v>
      </c>
      <c r="K77" s="37">
        <v>7.72</v>
      </c>
      <c r="L77" s="240" t="s">
        <v>217</v>
      </c>
      <c r="M77" s="29"/>
    </row>
    <row r="78" spans="1:13" ht="51">
      <c r="A78" s="188">
        <v>3.1</v>
      </c>
      <c r="B78" s="106" t="s">
        <v>223</v>
      </c>
      <c r="C78" s="25">
        <v>4.03</v>
      </c>
      <c r="D78" s="15" t="s">
        <v>8</v>
      </c>
      <c r="E78" s="40">
        <f t="shared" si="12"/>
        <v>425.33028720000004</v>
      </c>
      <c r="F78" s="41">
        <f>C78*E78</f>
        <v>1714.0810574160002</v>
      </c>
      <c r="G78" s="41">
        <f t="shared" si="13"/>
        <v>182.28440880000002</v>
      </c>
      <c r="H78" s="41">
        <f>C78*G78</f>
        <v>734.6061674640001</v>
      </c>
      <c r="I78" s="55">
        <f>F78+H78</f>
        <v>2448.6872248800005</v>
      </c>
      <c r="J78" s="222">
        <f>K78*$M$8</f>
        <v>607.6146960000001</v>
      </c>
      <c r="K78" s="37">
        <v>480.86</v>
      </c>
      <c r="L78" s="240" t="s">
        <v>222</v>
      </c>
      <c r="M78" s="29"/>
    </row>
    <row r="79" spans="1:13" ht="25.5">
      <c r="A79" s="14">
        <v>3.11</v>
      </c>
      <c r="B79" s="106" t="s">
        <v>210</v>
      </c>
      <c r="C79" s="25">
        <v>336</v>
      </c>
      <c r="D79" s="15" t="s">
        <v>10</v>
      </c>
      <c r="E79" s="40">
        <f t="shared" si="12"/>
        <v>23.943956399999998</v>
      </c>
      <c r="F79" s="41">
        <f t="shared" si="14"/>
        <v>8045.1693503999995</v>
      </c>
      <c r="G79" s="41">
        <f t="shared" si="13"/>
        <v>10.2616956</v>
      </c>
      <c r="H79" s="41">
        <f t="shared" si="15"/>
        <v>3447.9297216</v>
      </c>
      <c r="I79" s="55">
        <f t="shared" si="16"/>
        <v>11493.099071999999</v>
      </c>
      <c r="J79" s="222">
        <f t="shared" si="17"/>
        <v>34.205652</v>
      </c>
      <c r="K79" s="37">
        <v>27.07</v>
      </c>
      <c r="L79" s="240" t="s">
        <v>240</v>
      </c>
      <c r="M79" s="29"/>
    </row>
    <row r="80" spans="1:13" ht="88.5" customHeight="1" thickBot="1">
      <c r="A80" s="14">
        <v>3.12</v>
      </c>
      <c r="B80" s="106" t="s">
        <v>215</v>
      </c>
      <c r="C80" s="25">
        <v>168</v>
      </c>
      <c r="D80" s="15" t="s">
        <v>8</v>
      </c>
      <c r="E80" s="40">
        <f t="shared" si="12"/>
        <v>16.5139884</v>
      </c>
      <c r="F80" s="41">
        <f t="shared" si="14"/>
        <v>2774.3500511999996</v>
      </c>
      <c r="G80" s="41">
        <f t="shared" si="13"/>
        <v>7.0774236</v>
      </c>
      <c r="H80" s="41">
        <f t="shared" si="15"/>
        <v>1189.0071648</v>
      </c>
      <c r="I80" s="55">
        <f t="shared" si="16"/>
        <v>3963.3572159999994</v>
      </c>
      <c r="J80" s="225">
        <f t="shared" si="17"/>
        <v>23.591412000000002</v>
      </c>
      <c r="K80" s="226">
        <v>18.67</v>
      </c>
      <c r="L80" s="280" t="s">
        <v>122</v>
      </c>
      <c r="M80" s="29"/>
    </row>
    <row r="81" spans="1:13" ht="18.75" customHeight="1" thickBot="1">
      <c r="A81" s="257"/>
      <c r="B81" s="257" t="s">
        <v>18</v>
      </c>
      <c r="C81" s="258"/>
      <c r="D81" s="259"/>
      <c r="E81" s="204"/>
      <c r="F81" s="205">
        <f>SUM(F69:F80)</f>
        <v>47145.814141608</v>
      </c>
      <c r="G81" s="204"/>
      <c r="H81" s="205">
        <f>SUM(H69:H80)</f>
        <v>20205.348917832</v>
      </c>
      <c r="I81" s="260">
        <f>SUM(I69:I80)</f>
        <v>67351.16305943999</v>
      </c>
      <c r="J81" s="277"/>
      <c r="K81" s="278"/>
      <c r="L81" s="279"/>
      <c r="M81" s="29"/>
    </row>
    <row r="82" spans="1:13" ht="38.25" customHeight="1" thickBot="1">
      <c r="A82" s="230">
        <v>4</v>
      </c>
      <c r="B82" s="231" t="s">
        <v>231</v>
      </c>
      <c r="C82" s="232"/>
      <c r="D82" s="85"/>
      <c r="E82" s="85"/>
      <c r="F82" s="233"/>
      <c r="G82" s="85"/>
      <c r="H82" s="233"/>
      <c r="I82" s="234"/>
      <c r="J82" s="256"/>
      <c r="K82" s="246"/>
      <c r="L82" s="247"/>
      <c r="M82" s="27"/>
    </row>
    <row r="83" spans="1:13" ht="28.5" customHeight="1">
      <c r="A83" s="266">
        <v>4.1</v>
      </c>
      <c r="B83" s="267" t="s">
        <v>232</v>
      </c>
      <c r="C83" s="268">
        <v>1894.02</v>
      </c>
      <c r="D83" s="269" t="s">
        <v>14</v>
      </c>
      <c r="E83" s="270">
        <f>J83*0.8</f>
        <v>4.54896</v>
      </c>
      <c r="F83" s="271">
        <f>C83*E83</f>
        <v>8615.821219200001</v>
      </c>
      <c r="G83" s="271">
        <f>J83*0.2</f>
        <v>1.13724</v>
      </c>
      <c r="H83" s="271">
        <f>C83*G83</f>
        <v>2153.9553048000002</v>
      </c>
      <c r="I83" s="272">
        <f>F83+H83</f>
        <v>10769.776524</v>
      </c>
      <c r="J83" s="274">
        <f>K83*$M$8</f>
        <v>5.6862</v>
      </c>
      <c r="K83" s="275">
        <v>4.5</v>
      </c>
      <c r="L83" s="276" t="s">
        <v>233</v>
      </c>
      <c r="M83" s="29"/>
    </row>
    <row r="84" spans="1:13" ht="28.5" customHeight="1">
      <c r="A84" s="51">
        <v>4.2</v>
      </c>
      <c r="B84" s="190" t="s">
        <v>234</v>
      </c>
      <c r="C84" s="191">
        <v>94.7</v>
      </c>
      <c r="D84" s="19" t="s">
        <v>8</v>
      </c>
      <c r="E84" s="192">
        <f>J84*0.8</f>
        <v>183.98016</v>
      </c>
      <c r="F84" s="193">
        <f>C84*E84</f>
        <v>17422.921152000003</v>
      </c>
      <c r="G84" s="193">
        <f>J84*0.2</f>
        <v>45.99504</v>
      </c>
      <c r="H84" s="193">
        <f>C84*G84</f>
        <v>4355.730288000001</v>
      </c>
      <c r="I84" s="194">
        <f>F84+H84</f>
        <v>21778.65144</v>
      </c>
      <c r="J84" s="222">
        <f>K84*$M$8</f>
        <v>229.9752</v>
      </c>
      <c r="K84" s="37">
        <v>182</v>
      </c>
      <c r="L84" s="240" t="s">
        <v>235</v>
      </c>
      <c r="M84" s="29"/>
    </row>
    <row r="85" spans="1:13" ht="28.5" customHeight="1">
      <c r="A85" s="51">
        <v>4.3</v>
      </c>
      <c r="B85" s="190" t="s">
        <v>236</v>
      </c>
      <c r="C85" s="191">
        <v>113.64</v>
      </c>
      <c r="D85" s="19" t="s">
        <v>8</v>
      </c>
      <c r="E85" s="192">
        <f>J85*0.8</f>
        <v>459.4247424</v>
      </c>
      <c r="F85" s="193">
        <f>C85*E85</f>
        <v>52209.027726336004</v>
      </c>
      <c r="G85" s="193">
        <f>J85*0.2</f>
        <v>114.8561856</v>
      </c>
      <c r="H85" s="193">
        <f>C85*G85</f>
        <v>13052.256931584001</v>
      </c>
      <c r="I85" s="194">
        <f>F85+H85</f>
        <v>65261.284657920005</v>
      </c>
      <c r="J85" s="222">
        <f>K85*$M$8</f>
        <v>574.280928</v>
      </c>
      <c r="K85" s="37">
        <v>454.48</v>
      </c>
      <c r="L85" s="240" t="s">
        <v>237</v>
      </c>
      <c r="M85" s="29"/>
    </row>
    <row r="86" spans="1:13" ht="28.5" customHeight="1">
      <c r="A86" s="51">
        <v>4.4</v>
      </c>
      <c r="B86" s="190" t="s">
        <v>238</v>
      </c>
      <c r="C86" s="191">
        <v>378.8</v>
      </c>
      <c r="D86" s="19" t="s">
        <v>14</v>
      </c>
      <c r="E86" s="192">
        <f>J86*0.8</f>
        <v>55.2344832</v>
      </c>
      <c r="F86" s="193">
        <f>C86*E86</f>
        <v>20922.822236160002</v>
      </c>
      <c r="G86" s="193">
        <f>J86*0.2</f>
        <v>13.8086208</v>
      </c>
      <c r="H86" s="193">
        <f>C86*G86</f>
        <v>5230.7055590400005</v>
      </c>
      <c r="I86" s="194">
        <f>F86+H86</f>
        <v>26153.527795200003</v>
      </c>
      <c r="J86" s="222">
        <f>K86*$M$8</f>
        <v>69.043104</v>
      </c>
      <c r="K86" s="37">
        <v>54.64</v>
      </c>
      <c r="L86" s="240" t="s">
        <v>239</v>
      </c>
      <c r="M86" s="29"/>
    </row>
    <row r="87" spans="1:13" ht="28.5" customHeight="1" thickBot="1">
      <c r="A87" s="273"/>
      <c r="B87" s="74" t="s">
        <v>18</v>
      </c>
      <c r="C87" s="75"/>
      <c r="D87" s="75"/>
      <c r="E87" s="77"/>
      <c r="F87" s="78">
        <f>SUM(F83:F86)</f>
        <v>99170.59233369601</v>
      </c>
      <c r="G87" s="78"/>
      <c r="H87" s="78">
        <f>SUM(H83:H86)</f>
        <v>24792.648083424003</v>
      </c>
      <c r="I87" s="79">
        <f>SUM(I83:I86)</f>
        <v>123963.24041712002</v>
      </c>
      <c r="J87" s="273"/>
      <c r="K87" s="78"/>
      <c r="L87" s="79"/>
      <c r="M87" s="29"/>
    </row>
    <row r="88" spans="1:13" ht="15">
      <c r="A88" s="104"/>
      <c r="B88" s="261"/>
      <c r="C88" s="262"/>
      <c r="D88" s="50"/>
      <c r="E88" s="263"/>
      <c r="F88" s="264"/>
      <c r="G88" s="264"/>
      <c r="H88" s="264"/>
      <c r="I88" s="265"/>
      <c r="J88" s="254"/>
      <c r="K88" s="243"/>
      <c r="L88" s="255"/>
      <c r="M88" s="29"/>
    </row>
    <row r="89" spans="1:13" ht="15.75" thickBot="1">
      <c r="A89" s="195"/>
      <c r="B89" s="196"/>
      <c r="C89" s="197"/>
      <c r="D89" s="198"/>
      <c r="E89" s="199"/>
      <c r="F89" s="200"/>
      <c r="G89" s="199"/>
      <c r="H89" s="200"/>
      <c r="I89" s="201"/>
      <c r="J89" s="202"/>
      <c r="K89" s="202"/>
      <c r="L89" s="203"/>
      <c r="M89" s="29"/>
    </row>
    <row r="90" spans="1:13" ht="15.75" thickBot="1">
      <c r="A90" s="83"/>
      <c r="B90" s="84" t="s">
        <v>9</v>
      </c>
      <c r="C90" s="85"/>
      <c r="D90" s="85"/>
      <c r="E90" s="86"/>
      <c r="F90" s="87">
        <f>F33+F67+F81+F87</f>
        <v>665764.477500564</v>
      </c>
      <c r="G90" s="87"/>
      <c r="H90" s="87">
        <f>H33+H67+H81+H87</f>
        <v>255926.836496916</v>
      </c>
      <c r="I90" s="88">
        <f>I33+I67+I81+I87</f>
        <v>921691.3139974801</v>
      </c>
      <c r="J90" s="82"/>
      <c r="K90" s="82"/>
      <c r="L90" s="82"/>
      <c r="M90" s="27"/>
    </row>
    <row r="91" spans="1:13" ht="15">
      <c r="A91" s="290" t="s">
        <v>119</v>
      </c>
      <c r="B91" s="290"/>
      <c r="C91" s="21"/>
      <c r="D91" s="21"/>
      <c r="E91" s="30"/>
      <c r="F91" s="31"/>
      <c r="G91" s="31"/>
      <c r="H91" s="31"/>
      <c r="I91" s="31"/>
      <c r="J91" s="26"/>
      <c r="K91" s="26"/>
      <c r="L91" s="26"/>
      <c r="M91" s="27"/>
    </row>
    <row r="92" spans="1:13" ht="15">
      <c r="A92" s="23"/>
      <c r="B92" s="23"/>
      <c r="C92" s="21"/>
      <c r="D92" s="21"/>
      <c r="E92" s="30"/>
      <c r="F92" s="31"/>
      <c r="G92" s="31"/>
      <c r="H92" s="31"/>
      <c r="I92" s="31"/>
      <c r="J92" s="26"/>
      <c r="K92" s="26"/>
      <c r="L92" s="26"/>
      <c r="M92" s="27"/>
    </row>
    <row r="93" spans="1:13" ht="15">
      <c r="A93" s="7" t="s">
        <v>230</v>
      </c>
      <c r="B93" s="7"/>
      <c r="C93" s="43"/>
      <c r="D93" s="21"/>
      <c r="E93" s="30"/>
      <c r="F93" s="31"/>
      <c r="G93" s="31"/>
      <c r="H93" s="31"/>
      <c r="I93" s="31"/>
      <c r="J93" s="26"/>
      <c r="K93" s="26"/>
      <c r="L93" s="26"/>
      <c r="M93" s="27"/>
    </row>
    <row r="94" spans="1:13" ht="15">
      <c r="A94" s="9"/>
      <c r="B94" s="10"/>
      <c r="C94" s="10"/>
      <c r="D94" s="22"/>
      <c r="E94" s="34"/>
      <c r="F94" s="32"/>
      <c r="G94" s="32"/>
      <c r="H94" s="32"/>
      <c r="I94" s="33"/>
      <c r="J94" s="26"/>
      <c r="K94" s="26"/>
      <c r="L94" s="26"/>
      <c r="M94" s="27"/>
    </row>
    <row r="95" spans="1:13" ht="15">
      <c r="A95" s="9"/>
      <c r="B95" s="10"/>
      <c r="C95" s="10"/>
      <c r="D95" s="35"/>
      <c r="E95" s="36"/>
      <c r="F95" s="54"/>
      <c r="G95" s="32"/>
      <c r="H95" s="54"/>
      <c r="I95" s="56"/>
      <c r="J95" s="26"/>
      <c r="K95" s="26"/>
      <c r="L95" s="26"/>
      <c r="M95" s="27"/>
    </row>
    <row r="96" spans="1:13" ht="15">
      <c r="A96" s="7"/>
      <c r="B96" s="27"/>
      <c r="C96" s="27"/>
      <c r="D96" s="291" t="s">
        <v>71</v>
      </c>
      <c r="E96" s="291"/>
      <c r="F96" s="291"/>
      <c r="G96" s="32"/>
      <c r="H96" s="292" t="s">
        <v>254</v>
      </c>
      <c r="I96" s="292"/>
      <c r="J96" s="26"/>
      <c r="K96" s="26"/>
      <c r="L96" s="26"/>
      <c r="M96" s="27"/>
    </row>
    <row r="97" spans="1:13" ht="15">
      <c r="A97" s="7"/>
      <c r="B97" s="27"/>
      <c r="C97" s="27"/>
      <c r="D97" s="281" t="s">
        <v>41</v>
      </c>
      <c r="E97" s="281"/>
      <c r="F97" s="281"/>
      <c r="G97" s="32"/>
      <c r="H97" s="293" t="s">
        <v>46</v>
      </c>
      <c r="I97" s="293"/>
      <c r="J97" s="26"/>
      <c r="K97" s="26"/>
      <c r="L97" s="26"/>
      <c r="M97" s="27"/>
    </row>
    <row r="98" spans="1:13" ht="15">
      <c r="A98" s="7"/>
      <c r="B98" s="27"/>
      <c r="C98" s="27"/>
      <c r="D98" s="281" t="s">
        <v>72</v>
      </c>
      <c r="E98" s="281"/>
      <c r="F98" s="281"/>
      <c r="G98" s="53"/>
      <c r="H98" s="281" t="s">
        <v>74</v>
      </c>
      <c r="I98" s="281"/>
      <c r="J98" s="26"/>
      <c r="K98" s="26"/>
      <c r="L98" s="26"/>
      <c r="M98" s="27"/>
    </row>
  </sheetData>
  <sheetProtection/>
  <mergeCells count="23">
    <mergeCell ref="A2:L2"/>
    <mergeCell ref="A3:L3"/>
    <mergeCell ref="A4:L4"/>
    <mergeCell ref="A5:L5"/>
    <mergeCell ref="A6:L6"/>
    <mergeCell ref="A7:I7"/>
    <mergeCell ref="J7:L7"/>
    <mergeCell ref="A8:A9"/>
    <mergeCell ref="B8:B9"/>
    <mergeCell ref="C8:C9"/>
    <mergeCell ref="D8:D9"/>
    <mergeCell ref="E8:F8"/>
    <mergeCell ref="G8:H8"/>
    <mergeCell ref="D98:F98"/>
    <mergeCell ref="H98:I98"/>
    <mergeCell ref="A1:L1"/>
    <mergeCell ref="I8:I9"/>
    <mergeCell ref="J8:L8"/>
    <mergeCell ref="A91:B91"/>
    <mergeCell ref="D96:F96"/>
    <mergeCell ref="H96:I96"/>
    <mergeCell ref="D97:F97"/>
    <mergeCell ref="H97:I9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K24" sqref="K2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89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91">
        <v>1.204</v>
      </c>
      <c r="D5" s="49" t="s">
        <v>8</v>
      </c>
      <c r="E5" s="37">
        <f>K5*0.7</f>
        <v>424.179</v>
      </c>
      <c r="F5" s="37">
        <f>C5*E5</f>
        <v>510.71151599999996</v>
      </c>
      <c r="G5" s="37">
        <f>K5*0.3</f>
        <v>181.791</v>
      </c>
      <c r="H5" s="37">
        <f>C5*G5</f>
        <v>218.876364</v>
      </c>
      <c r="I5" s="45">
        <f>F5+H5</f>
        <v>729.5878799999999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6">
        <v>0.357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85.63323299999999</v>
      </c>
      <c r="G6" s="37">
        <f aca="true" t="shared" si="2" ref="G6:G11">K6*0.3</f>
        <v>102.801</v>
      </c>
      <c r="H6" s="37">
        <f aca="true" t="shared" si="3" ref="H6:H11">C6*G6</f>
        <v>36.699957</v>
      </c>
      <c r="I6" s="45">
        <f aca="true" t="shared" si="4" ref="I6:I11">F6+H6</f>
        <v>122.33318999999999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</v>
      </c>
      <c r="D7" s="50" t="s">
        <v>14</v>
      </c>
      <c r="E7" s="37">
        <f t="shared" si="0"/>
        <v>19.578999999999997</v>
      </c>
      <c r="F7" s="37">
        <f t="shared" si="1"/>
        <v>58.736999999999995</v>
      </c>
      <c r="G7" s="37">
        <f t="shared" si="2"/>
        <v>8.391</v>
      </c>
      <c r="H7" s="37">
        <f t="shared" si="3"/>
        <v>25.173000000000002</v>
      </c>
      <c r="I7" s="45">
        <f t="shared" si="4"/>
        <v>83.91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4">
        <v>11.6</v>
      </c>
      <c r="D8" s="15" t="s">
        <v>30</v>
      </c>
      <c r="E8" s="37">
        <f t="shared" si="0"/>
        <v>4.221</v>
      </c>
      <c r="F8" s="37">
        <f t="shared" si="1"/>
        <v>48.9636</v>
      </c>
      <c r="G8" s="37">
        <f t="shared" si="2"/>
        <v>1.809</v>
      </c>
      <c r="H8" s="37">
        <f t="shared" si="3"/>
        <v>20.984399999999997</v>
      </c>
      <c r="I8" s="45">
        <f t="shared" si="4"/>
        <v>69.948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1.308</v>
      </c>
      <c r="D9" s="15" t="s">
        <v>30</v>
      </c>
      <c r="E9" s="37">
        <f t="shared" si="0"/>
        <v>4.781</v>
      </c>
      <c r="F9" s="37">
        <f t="shared" si="1"/>
        <v>6.253547999999999</v>
      </c>
      <c r="G9" s="37">
        <f t="shared" si="2"/>
        <v>2.049</v>
      </c>
      <c r="H9" s="37">
        <f t="shared" si="3"/>
        <v>2.680092</v>
      </c>
      <c r="I9" s="45">
        <f t="shared" si="4"/>
        <v>8.93364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69</v>
      </c>
      <c r="C10" s="44">
        <v>1</v>
      </c>
      <c r="D10" s="15" t="s">
        <v>17</v>
      </c>
      <c r="E10" s="37">
        <f t="shared" si="0"/>
        <v>27.293</v>
      </c>
      <c r="F10" s="37">
        <f t="shared" si="1"/>
        <v>27.293</v>
      </c>
      <c r="G10" s="37">
        <f t="shared" si="2"/>
        <v>11.697000000000001</v>
      </c>
      <c r="H10" s="37">
        <f t="shared" si="3"/>
        <v>11.697000000000001</v>
      </c>
      <c r="I10" s="45">
        <f t="shared" si="4"/>
        <v>38.99</v>
      </c>
      <c r="J10" s="18">
        <v>94274</v>
      </c>
      <c r="K10" s="16">
        <v>38.99</v>
      </c>
      <c r="M10" s="6"/>
    </row>
    <row r="11" spans="1:13" ht="26.25" thickBot="1">
      <c r="A11" s="51" t="s">
        <v>25</v>
      </c>
      <c r="B11" s="42" t="s">
        <v>70</v>
      </c>
      <c r="C11" s="92">
        <v>0.101</v>
      </c>
      <c r="D11" s="19" t="s">
        <v>8</v>
      </c>
      <c r="E11" s="37">
        <f t="shared" si="0"/>
        <v>325.577</v>
      </c>
      <c r="F11" s="52">
        <f t="shared" si="1"/>
        <v>32.883277</v>
      </c>
      <c r="G11" s="37">
        <f t="shared" si="2"/>
        <v>139.533</v>
      </c>
      <c r="H11" s="52">
        <f t="shared" si="3"/>
        <v>14.092832999999999</v>
      </c>
      <c r="I11" s="93">
        <f t="shared" si="4"/>
        <v>46.97611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770.475174</v>
      </c>
      <c r="G12" s="96"/>
      <c r="H12" s="97">
        <f>SUM(H5:H11)</f>
        <v>330.203646</v>
      </c>
      <c r="I12" s="98">
        <f>SUM(I5:I11)</f>
        <v>1100.6788199999999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230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I26" sqref="I26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97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91">
        <v>2.236</v>
      </c>
      <c r="D5" s="49" t="s">
        <v>8</v>
      </c>
      <c r="E5" s="37">
        <f>K5*0.7</f>
        <v>424.179</v>
      </c>
      <c r="F5" s="37">
        <f>C5*E5</f>
        <v>948.464244</v>
      </c>
      <c r="G5" s="37">
        <f>K5*0.3</f>
        <v>181.791</v>
      </c>
      <c r="H5" s="37">
        <f>C5*G5</f>
        <v>406.48467600000004</v>
      </c>
      <c r="I5" s="45">
        <f>F5+H5</f>
        <v>1354.94892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6">
        <v>0.357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85.63323299999999</v>
      </c>
      <c r="G6" s="37">
        <f aca="true" t="shared" si="2" ref="G6:G11">K6*0.3</f>
        <v>102.801</v>
      </c>
      <c r="H6" s="37">
        <f aca="true" t="shared" si="3" ref="H6:H11">C6*G6</f>
        <v>36.699957</v>
      </c>
      <c r="I6" s="45">
        <f aca="true" t="shared" si="4" ref="I6:I11">F6+H6</f>
        <v>122.33318999999999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</v>
      </c>
      <c r="D7" s="50" t="s">
        <v>14</v>
      </c>
      <c r="E7" s="37">
        <f t="shared" si="0"/>
        <v>19.578999999999997</v>
      </c>
      <c r="F7" s="37">
        <f t="shared" si="1"/>
        <v>58.736999999999995</v>
      </c>
      <c r="G7" s="37">
        <f t="shared" si="2"/>
        <v>8.391</v>
      </c>
      <c r="H7" s="37">
        <f t="shared" si="3"/>
        <v>25.173000000000002</v>
      </c>
      <c r="I7" s="45">
        <f t="shared" si="4"/>
        <v>83.91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4">
        <v>11.6</v>
      </c>
      <c r="D8" s="15" t="s">
        <v>30</v>
      </c>
      <c r="E8" s="37">
        <f t="shared" si="0"/>
        <v>4.221</v>
      </c>
      <c r="F8" s="37">
        <f t="shared" si="1"/>
        <v>48.9636</v>
      </c>
      <c r="G8" s="37">
        <f t="shared" si="2"/>
        <v>1.809</v>
      </c>
      <c r="H8" s="37">
        <f t="shared" si="3"/>
        <v>20.984399999999997</v>
      </c>
      <c r="I8" s="45">
        <f t="shared" si="4"/>
        <v>69.948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1.308</v>
      </c>
      <c r="D9" s="15" t="s">
        <v>30</v>
      </c>
      <c r="E9" s="37">
        <f t="shared" si="0"/>
        <v>4.781</v>
      </c>
      <c r="F9" s="37">
        <f t="shared" si="1"/>
        <v>6.253547999999999</v>
      </c>
      <c r="G9" s="37">
        <f t="shared" si="2"/>
        <v>2.049</v>
      </c>
      <c r="H9" s="37">
        <f t="shared" si="3"/>
        <v>2.680092</v>
      </c>
      <c r="I9" s="45">
        <f t="shared" si="4"/>
        <v>8.93364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69</v>
      </c>
      <c r="C10" s="44">
        <v>1</v>
      </c>
      <c r="D10" s="15" t="s">
        <v>17</v>
      </c>
      <c r="E10" s="37">
        <f t="shared" si="0"/>
        <v>27.293</v>
      </c>
      <c r="F10" s="37">
        <f t="shared" si="1"/>
        <v>27.293</v>
      </c>
      <c r="G10" s="37">
        <f t="shared" si="2"/>
        <v>11.697000000000001</v>
      </c>
      <c r="H10" s="37">
        <f t="shared" si="3"/>
        <v>11.697000000000001</v>
      </c>
      <c r="I10" s="45">
        <f t="shared" si="4"/>
        <v>38.99</v>
      </c>
      <c r="J10" s="18">
        <v>94274</v>
      </c>
      <c r="K10" s="16">
        <v>38.99</v>
      </c>
      <c r="M10" s="6"/>
    </row>
    <row r="11" spans="1:13" ht="26.25" thickBot="1">
      <c r="A11" s="51" t="s">
        <v>25</v>
      </c>
      <c r="B11" s="42" t="s">
        <v>70</v>
      </c>
      <c r="C11" s="92">
        <v>0.185</v>
      </c>
      <c r="D11" s="19" t="s">
        <v>8</v>
      </c>
      <c r="E11" s="37">
        <f t="shared" si="0"/>
        <v>325.577</v>
      </c>
      <c r="F11" s="52">
        <f t="shared" si="1"/>
        <v>60.231745</v>
      </c>
      <c r="G11" s="37">
        <f t="shared" si="2"/>
        <v>139.533</v>
      </c>
      <c r="H11" s="52">
        <f t="shared" si="3"/>
        <v>25.813605</v>
      </c>
      <c r="I11" s="93">
        <f t="shared" si="4"/>
        <v>86.04535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1235.57637</v>
      </c>
      <c r="G12" s="96"/>
      <c r="H12" s="97">
        <f>SUM(H5:H11)</f>
        <v>529.53273</v>
      </c>
      <c r="I12" s="98">
        <f>SUM(I5:I11)</f>
        <v>1765.1091000000004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230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J33" sqref="J33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99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91">
        <v>0.946</v>
      </c>
      <c r="D5" s="49" t="s">
        <v>8</v>
      </c>
      <c r="E5" s="37">
        <f>K5*0.7</f>
        <v>424.179</v>
      </c>
      <c r="F5" s="37">
        <f>C5*E5</f>
        <v>401.273334</v>
      </c>
      <c r="G5" s="37">
        <f>K5*0.3</f>
        <v>181.791</v>
      </c>
      <c r="H5" s="37">
        <f>C5*G5</f>
        <v>171.97428599999998</v>
      </c>
      <c r="I5" s="45">
        <f>F5+H5</f>
        <v>573.24762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6">
        <v>0.357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85.63323299999999</v>
      </c>
      <c r="G6" s="37">
        <f aca="true" t="shared" si="2" ref="G6:G11">K6*0.3</f>
        <v>102.801</v>
      </c>
      <c r="H6" s="37">
        <f aca="true" t="shared" si="3" ref="H6:H11">C6*G6</f>
        <v>36.699957</v>
      </c>
      <c r="I6" s="45">
        <f aca="true" t="shared" si="4" ref="I6:I11">F6+H6</f>
        <v>122.33318999999999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</v>
      </c>
      <c r="D7" s="50" t="s">
        <v>14</v>
      </c>
      <c r="E7" s="37">
        <f t="shared" si="0"/>
        <v>19.578999999999997</v>
      </c>
      <c r="F7" s="37">
        <f t="shared" si="1"/>
        <v>58.736999999999995</v>
      </c>
      <c r="G7" s="37">
        <f t="shared" si="2"/>
        <v>8.391</v>
      </c>
      <c r="H7" s="37">
        <f t="shared" si="3"/>
        <v>25.173000000000002</v>
      </c>
      <c r="I7" s="45">
        <f t="shared" si="4"/>
        <v>83.91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4">
        <v>11.6</v>
      </c>
      <c r="D8" s="15" t="s">
        <v>30</v>
      </c>
      <c r="E8" s="37">
        <f t="shared" si="0"/>
        <v>4.221</v>
      </c>
      <c r="F8" s="37">
        <f t="shared" si="1"/>
        <v>48.9636</v>
      </c>
      <c r="G8" s="37">
        <f t="shared" si="2"/>
        <v>1.809</v>
      </c>
      <c r="H8" s="37">
        <f t="shared" si="3"/>
        <v>20.984399999999997</v>
      </c>
      <c r="I8" s="45">
        <f t="shared" si="4"/>
        <v>69.948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1.308</v>
      </c>
      <c r="D9" s="15" t="s">
        <v>30</v>
      </c>
      <c r="E9" s="37">
        <f t="shared" si="0"/>
        <v>4.781</v>
      </c>
      <c r="F9" s="37">
        <f t="shared" si="1"/>
        <v>6.253547999999999</v>
      </c>
      <c r="G9" s="37">
        <f t="shared" si="2"/>
        <v>2.049</v>
      </c>
      <c r="H9" s="37">
        <f t="shared" si="3"/>
        <v>2.680092</v>
      </c>
      <c r="I9" s="45">
        <f t="shared" si="4"/>
        <v>8.93364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69</v>
      </c>
      <c r="C10" s="44">
        <v>1</v>
      </c>
      <c r="D10" s="15" t="s">
        <v>17</v>
      </c>
      <c r="E10" s="37">
        <f t="shared" si="0"/>
        <v>27.293</v>
      </c>
      <c r="F10" s="37">
        <f t="shared" si="1"/>
        <v>27.293</v>
      </c>
      <c r="G10" s="37">
        <f t="shared" si="2"/>
        <v>11.697000000000001</v>
      </c>
      <c r="H10" s="37">
        <f t="shared" si="3"/>
        <v>11.697000000000001</v>
      </c>
      <c r="I10" s="45">
        <f t="shared" si="4"/>
        <v>38.99</v>
      </c>
      <c r="J10" s="18">
        <v>94274</v>
      </c>
      <c r="K10" s="16">
        <v>38.99</v>
      </c>
      <c r="M10" s="6"/>
    </row>
    <row r="11" spans="1:13" ht="26.25" thickBot="1">
      <c r="A11" s="51" t="s">
        <v>25</v>
      </c>
      <c r="B11" s="42" t="s">
        <v>70</v>
      </c>
      <c r="C11" s="92">
        <v>0.08</v>
      </c>
      <c r="D11" s="19" t="s">
        <v>8</v>
      </c>
      <c r="E11" s="37">
        <f t="shared" si="0"/>
        <v>325.577</v>
      </c>
      <c r="F11" s="52">
        <f t="shared" si="1"/>
        <v>26.04616</v>
      </c>
      <c r="G11" s="37">
        <f t="shared" si="2"/>
        <v>139.533</v>
      </c>
      <c r="H11" s="52">
        <f t="shared" si="3"/>
        <v>11.16264</v>
      </c>
      <c r="I11" s="93">
        <f t="shared" si="4"/>
        <v>37.2088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654.199875</v>
      </c>
      <c r="G12" s="96"/>
      <c r="H12" s="97">
        <f>SUM(H5:H11)</f>
        <v>280.371375</v>
      </c>
      <c r="I12" s="98">
        <f>SUM(I5:I11)</f>
        <v>934.5712499999998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230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K32" sqref="K32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100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91">
        <v>1.634</v>
      </c>
      <c r="D5" s="49" t="s">
        <v>8</v>
      </c>
      <c r="E5" s="37">
        <f>K5*0.7</f>
        <v>424.179</v>
      </c>
      <c r="F5" s="37">
        <f>C5*E5</f>
        <v>693.1084859999999</v>
      </c>
      <c r="G5" s="37">
        <f>K5*0.3</f>
        <v>181.791</v>
      </c>
      <c r="H5" s="37">
        <f>C5*G5</f>
        <v>297.046494</v>
      </c>
      <c r="I5" s="45">
        <f>F5+H5</f>
        <v>990.1549799999998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6">
        <v>0.357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85.63323299999999</v>
      </c>
      <c r="G6" s="37">
        <f aca="true" t="shared" si="2" ref="G6:G11">K6*0.3</f>
        <v>102.801</v>
      </c>
      <c r="H6" s="37">
        <f aca="true" t="shared" si="3" ref="H6:H11">C6*G6</f>
        <v>36.699957</v>
      </c>
      <c r="I6" s="45">
        <f aca="true" t="shared" si="4" ref="I6:I11">F6+H6</f>
        <v>122.33318999999999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</v>
      </c>
      <c r="D7" s="50" t="s">
        <v>14</v>
      </c>
      <c r="E7" s="37">
        <f t="shared" si="0"/>
        <v>19.578999999999997</v>
      </c>
      <c r="F7" s="37">
        <f t="shared" si="1"/>
        <v>58.736999999999995</v>
      </c>
      <c r="G7" s="37">
        <f t="shared" si="2"/>
        <v>8.391</v>
      </c>
      <c r="H7" s="37">
        <f t="shared" si="3"/>
        <v>25.173000000000002</v>
      </c>
      <c r="I7" s="45">
        <f t="shared" si="4"/>
        <v>83.91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4">
        <v>11.6</v>
      </c>
      <c r="D8" s="15" t="s">
        <v>30</v>
      </c>
      <c r="E8" s="37">
        <f t="shared" si="0"/>
        <v>4.221</v>
      </c>
      <c r="F8" s="37">
        <f t="shared" si="1"/>
        <v>48.9636</v>
      </c>
      <c r="G8" s="37">
        <f t="shared" si="2"/>
        <v>1.809</v>
      </c>
      <c r="H8" s="37">
        <f t="shared" si="3"/>
        <v>20.984399999999997</v>
      </c>
      <c r="I8" s="45">
        <f t="shared" si="4"/>
        <v>69.948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1.308</v>
      </c>
      <c r="D9" s="15" t="s">
        <v>30</v>
      </c>
      <c r="E9" s="37">
        <f t="shared" si="0"/>
        <v>4.781</v>
      </c>
      <c r="F9" s="37">
        <f t="shared" si="1"/>
        <v>6.253547999999999</v>
      </c>
      <c r="G9" s="37">
        <f t="shared" si="2"/>
        <v>2.049</v>
      </c>
      <c r="H9" s="37">
        <f t="shared" si="3"/>
        <v>2.680092</v>
      </c>
      <c r="I9" s="45">
        <f t="shared" si="4"/>
        <v>8.93364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69</v>
      </c>
      <c r="C10" s="44">
        <v>1</v>
      </c>
      <c r="D10" s="15" t="s">
        <v>17</v>
      </c>
      <c r="E10" s="37">
        <f t="shared" si="0"/>
        <v>27.293</v>
      </c>
      <c r="F10" s="37">
        <f t="shared" si="1"/>
        <v>27.293</v>
      </c>
      <c r="G10" s="37">
        <f t="shared" si="2"/>
        <v>11.697000000000001</v>
      </c>
      <c r="H10" s="37">
        <f t="shared" si="3"/>
        <v>11.697000000000001</v>
      </c>
      <c r="I10" s="45">
        <f t="shared" si="4"/>
        <v>38.99</v>
      </c>
      <c r="J10" s="18">
        <v>94274</v>
      </c>
      <c r="K10" s="16">
        <v>38.99</v>
      </c>
      <c r="M10" s="6"/>
    </row>
    <row r="11" spans="1:13" ht="26.25" thickBot="1">
      <c r="A11" s="51" t="s">
        <v>25</v>
      </c>
      <c r="B11" s="42" t="s">
        <v>70</v>
      </c>
      <c r="C11" s="92">
        <v>0.136</v>
      </c>
      <c r="D11" s="19" t="s">
        <v>8</v>
      </c>
      <c r="E11" s="37">
        <f t="shared" si="0"/>
        <v>325.577</v>
      </c>
      <c r="F11" s="52">
        <f t="shared" si="1"/>
        <v>44.278472</v>
      </c>
      <c r="G11" s="37">
        <f t="shared" si="2"/>
        <v>139.533</v>
      </c>
      <c r="H11" s="52">
        <f t="shared" si="3"/>
        <v>18.976488</v>
      </c>
      <c r="I11" s="93">
        <f t="shared" si="4"/>
        <v>63.25496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964.2673389999999</v>
      </c>
      <c r="G12" s="96"/>
      <c r="H12" s="97">
        <f>SUM(H5:H11)</f>
        <v>413.257431</v>
      </c>
      <c r="I12" s="98">
        <f>SUM(I5:I11)+0.01</f>
        <v>1377.53477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230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L22" sqref="L22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102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91">
        <v>1.786</v>
      </c>
      <c r="D5" s="49" t="s">
        <v>8</v>
      </c>
      <c r="E5" s="37">
        <f>K5*0.7</f>
        <v>424.179</v>
      </c>
      <c r="F5" s="37">
        <f>C5*E5</f>
        <v>757.5836939999999</v>
      </c>
      <c r="G5" s="37">
        <f>K5*0.3</f>
        <v>181.791</v>
      </c>
      <c r="H5" s="37">
        <f>C5*G5</f>
        <v>324.678726</v>
      </c>
      <c r="I5" s="45">
        <f>F5+H5</f>
        <v>1082.26242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6">
        <v>0.419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100.505111</v>
      </c>
      <c r="G6" s="37">
        <f aca="true" t="shared" si="2" ref="G6:G11">K6*0.3</f>
        <v>102.801</v>
      </c>
      <c r="H6" s="37">
        <f aca="true" t="shared" si="3" ref="H6:H11">C6*G6</f>
        <v>43.073619</v>
      </c>
      <c r="I6" s="45">
        <f aca="true" t="shared" si="4" ref="I6:I11">F6+H6</f>
        <v>143.57873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3.5</v>
      </c>
      <c r="D7" s="50" t="s">
        <v>14</v>
      </c>
      <c r="E7" s="37">
        <f t="shared" si="0"/>
        <v>19.578999999999997</v>
      </c>
      <c r="F7" s="37">
        <f t="shared" si="1"/>
        <v>68.52649999999998</v>
      </c>
      <c r="G7" s="37">
        <f t="shared" si="2"/>
        <v>8.391</v>
      </c>
      <c r="H7" s="37">
        <f t="shared" si="3"/>
        <v>29.3685</v>
      </c>
      <c r="I7" s="45">
        <f t="shared" si="4"/>
        <v>97.89499999999998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6">
        <v>14.039</v>
      </c>
      <c r="D8" s="15" t="s">
        <v>30</v>
      </c>
      <c r="E8" s="37">
        <f t="shared" si="0"/>
        <v>4.221</v>
      </c>
      <c r="F8" s="37">
        <f t="shared" si="1"/>
        <v>59.258619</v>
      </c>
      <c r="G8" s="37">
        <f t="shared" si="2"/>
        <v>1.809</v>
      </c>
      <c r="H8" s="37">
        <f t="shared" si="3"/>
        <v>25.396551</v>
      </c>
      <c r="I8" s="45">
        <f t="shared" si="4"/>
        <v>84.65517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1.439</v>
      </c>
      <c r="D9" s="15" t="s">
        <v>30</v>
      </c>
      <c r="E9" s="37">
        <f t="shared" si="0"/>
        <v>4.781</v>
      </c>
      <c r="F9" s="37">
        <f t="shared" si="1"/>
        <v>6.879859</v>
      </c>
      <c r="G9" s="37">
        <f t="shared" si="2"/>
        <v>2.049</v>
      </c>
      <c r="H9" s="37">
        <f t="shared" si="3"/>
        <v>2.948511</v>
      </c>
      <c r="I9" s="45">
        <f t="shared" si="4"/>
        <v>9.82837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69</v>
      </c>
      <c r="C10" s="44">
        <v>1</v>
      </c>
      <c r="D10" s="15" t="s">
        <v>17</v>
      </c>
      <c r="E10" s="37">
        <f t="shared" si="0"/>
        <v>27.293</v>
      </c>
      <c r="F10" s="37">
        <f t="shared" si="1"/>
        <v>27.293</v>
      </c>
      <c r="G10" s="37">
        <f t="shared" si="2"/>
        <v>11.697000000000001</v>
      </c>
      <c r="H10" s="37">
        <f t="shared" si="3"/>
        <v>11.697000000000001</v>
      </c>
      <c r="I10" s="45">
        <f t="shared" si="4"/>
        <v>38.99</v>
      </c>
      <c r="J10" s="18">
        <v>94274</v>
      </c>
      <c r="K10" s="16">
        <v>38.99</v>
      </c>
      <c r="M10" s="6"/>
    </row>
    <row r="11" spans="1:13" ht="26.25" thickBot="1">
      <c r="A11" s="51" t="s">
        <v>25</v>
      </c>
      <c r="B11" s="42" t="s">
        <v>70</v>
      </c>
      <c r="C11" s="92">
        <v>0.152</v>
      </c>
      <c r="D11" s="19" t="s">
        <v>8</v>
      </c>
      <c r="E11" s="37">
        <f t="shared" si="0"/>
        <v>325.577</v>
      </c>
      <c r="F11" s="52">
        <f t="shared" si="1"/>
        <v>49.487704</v>
      </c>
      <c r="G11" s="37">
        <f t="shared" si="2"/>
        <v>139.533</v>
      </c>
      <c r="H11" s="52">
        <f t="shared" si="3"/>
        <v>21.209016</v>
      </c>
      <c r="I11" s="93">
        <f t="shared" si="4"/>
        <v>70.69672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1069.5344869999997</v>
      </c>
      <c r="G12" s="96"/>
      <c r="H12" s="97">
        <f>SUM(H5:H11)</f>
        <v>458.371923</v>
      </c>
      <c r="I12" s="98">
        <f>SUM(I5:I11)-0.01</f>
        <v>1527.8964099999998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230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K24" sqref="K2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104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91">
        <v>2.256</v>
      </c>
      <c r="D5" s="49" t="s">
        <v>8</v>
      </c>
      <c r="E5" s="37">
        <f>K5*0.7</f>
        <v>424.179</v>
      </c>
      <c r="F5" s="37">
        <f>C5*E5</f>
        <v>956.9478239999999</v>
      </c>
      <c r="G5" s="37">
        <f>K5*0.3</f>
        <v>181.791</v>
      </c>
      <c r="H5" s="37">
        <f>C5*G5</f>
        <v>410.12049599999995</v>
      </c>
      <c r="I5" s="45">
        <f>F5+H5</f>
        <v>1367.0683199999999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6">
        <v>0.419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100.505111</v>
      </c>
      <c r="G6" s="37">
        <f aca="true" t="shared" si="2" ref="G6:G11">K6*0.3</f>
        <v>102.801</v>
      </c>
      <c r="H6" s="37">
        <f aca="true" t="shared" si="3" ref="H6:H11">C6*G6</f>
        <v>43.073619</v>
      </c>
      <c r="I6" s="45">
        <f aca="true" t="shared" si="4" ref="I6:I11">F6+H6</f>
        <v>143.57873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3.5</v>
      </c>
      <c r="D7" s="50" t="s">
        <v>14</v>
      </c>
      <c r="E7" s="37">
        <f t="shared" si="0"/>
        <v>19.578999999999997</v>
      </c>
      <c r="F7" s="37">
        <f t="shared" si="1"/>
        <v>68.52649999999998</v>
      </c>
      <c r="G7" s="37">
        <f t="shared" si="2"/>
        <v>8.391</v>
      </c>
      <c r="H7" s="37">
        <f t="shared" si="3"/>
        <v>29.3685</v>
      </c>
      <c r="I7" s="45">
        <f t="shared" si="4"/>
        <v>97.89499999999998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6">
        <v>14.039</v>
      </c>
      <c r="D8" s="15" t="s">
        <v>30</v>
      </c>
      <c r="E8" s="37">
        <f t="shared" si="0"/>
        <v>4.221</v>
      </c>
      <c r="F8" s="37">
        <f t="shared" si="1"/>
        <v>59.258619</v>
      </c>
      <c r="G8" s="37">
        <f t="shared" si="2"/>
        <v>1.809</v>
      </c>
      <c r="H8" s="37">
        <f t="shared" si="3"/>
        <v>25.396551</v>
      </c>
      <c r="I8" s="45">
        <f t="shared" si="4"/>
        <v>84.65517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1.439</v>
      </c>
      <c r="D9" s="15" t="s">
        <v>30</v>
      </c>
      <c r="E9" s="37">
        <f t="shared" si="0"/>
        <v>4.781</v>
      </c>
      <c r="F9" s="37">
        <f t="shared" si="1"/>
        <v>6.879859</v>
      </c>
      <c r="G9" s="37">
        <f t="shared" si="2"/>
        <v>2.049</v>
      </c>
      <c r="H9" s="37">
        <f t="shared" si="3"/>
        <v>2.948511</v>
      </c>
      <c r="I9" s="45">
        <f t="shared" si="4"/>
        <v>9.82837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69</v>
      </c>
      <c r="C10" s="44">
        <v>1</v>
      </c>
      <c r="D10" s="15" t="s">
        <v>17</v>
      </c>
      <c r="E10" s="37">
        <f t="shared" si="0"/>
        <v>27.293</v>
      </c>
      <c r="F10" s="37">
        <f t="shared" si="1"/>
        <v>27.293</v>
      </c>
      <c r="G10" s="37">
        <f t="shared" si="2"/>
        <v>11.697000000000001</v>
      </c>
      <c r="H10" s="37">
        <f t="shared" si="3"/>
        <v>11.697000000000001</v>
      </c>
      <c r="I10" s="45">
        <f t="shared" si="4"/>
        <v>38.99</v>
      </c>
      <c r="J10" s="18">
        <v>94274</v>
      </c>
      <c r="K10" s="16">
        <v>38.99</v>
      </c>
      <c r="M10" s="6"/>
    </row>
    <row r="11" spans="1:13" ht="26.25" thickBot="1">
      <c r="A11" s="51" t="s">
        <v>25</v>
      </c>
      <c r="B11" s="42" t="s">
        <v>70</v>
      </c>
      <c r="C11" s="92">
        <v>0.191</v>
      </c>
      <c r="D11" s="19" t="s">
        <v>8</v>
      </c>
      <c r="E11" s="37">
        <f t="shared" si="0"/>
        <v>325.577</v>
      </c>
      <c r="F11" s="52">
        <f t="shared" si="1"/>
        <v>62.185207</v>
      </c>
      <c r="G11" s="37">
        <f t="shared" si="2"/>
        <v>139.533</v>
      </c>
      <c r="H11" s="52">
        <f t="shared" si="3"/>
        <v>26.650802999999996</v>
      </c>
      <c r="I11" s="93">
        <f t="shared" si="4"/>
        <v>88.83600999999999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1281.5961199999995</v>
      </c>
      <c r="G12" s="96"/>
      <c r="H12" s="97">
        <f>SUM(H5:H11)</f>
        <v>549.2554799999999</v>
      </c>
      <c r="I12" s="98">
        <f>SUM(I5:I11)+0.01</f>
        <v>1830.8615999999997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230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O28" sqref="O28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107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91">
        <v>1.128</v>
      </c>
      <c r="D5" s="49" t="s">
        <v>8</v>
      </c>
      <c r="E5" s="37">
        <f>K5*0.7</f>
        <v>424.179</v>
      </c>
      <c r="F5" s="37">
        <f>C5*E5</f>
        <v>478.4739119999999</v>
      </c>
      <c r="G5" s="37">
        <f>K5*0.3</f>
        <v>181.791</v>
      </c>
      <c r="H5" s="37">
        <f>C5*G5</f>
        <v>205.06024799999997</v>
      </c>
      <c r="I5" s="45">
        <f>F5+H5</f>
        <v>683.5341599999999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6">
        <v>0.419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100.505111</v>
      </c>
      <c r="G6" s="37">
        <f aca="true" t="shared" si="2" ref="G6:G11">K6*0.3</f>
        <v>102.801</v>
      </c>
      <c r="H6" s="37">
        <f aca="true" t="shared" si="3" ref="H6:H11">C6*G6</f>
        <v>43.073619</v>
      </c>
      <c r="I6" s="45">
        <f aca="true" t="shared" si="4" ref="I6:I11">F6+H6</f>
        <v>143.57873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3.5</v>
      </c>
      <c r="D7" s="50" t="s">
        <v>14</v>
      </c>
      <c r="E7" s="37">
        <f t="shared" si="0"/>
        <v>19.578999999999997</v>
      </c>
      <c r="F7" s="37">
        <f t="shared" si="1"/>
        <v>68.52649999999998</v>
      </c>
      <c r="G7" s="37">
        <f t="shared" si="2"/>
        <v>8.391</v>
      </c>
      <c r="H7" s="37">
        <f t="shared" si="3"/>
        <v>29.3685</v>
      </c>
      <c r="I7" s="45">
        <f t="shared" si="4"/>
        <v>97.89499999999998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6">
        <v>14.039</v>
      </c>
      <c r="D8" s="15" t="s">
        <v>30</v>
      </c>
      <c r="E8" s="37">
        <f t="shared" si="0"/>
        <v>4.221</v>
      </c>
      <c r="F8" s="37">
        <f t="shared" si="1"/>
        <v>59.258619</v>
      </c>
      <c r="G8" s="37">
        <f t="shared" si="2"/>
        <v>1.809</v>
      </c>
      <c r="H8" s="37">
        <f t="shared" si="3"/>
        <v>25.396551</v>
      </c>
      <c r="I8" s="45">
        <f t="shared" si="4"/>
        <v>84.65517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1.439</v>
      </c>
      <c r="D9" s="15" t="s">
        <v>30</v>
      </c>
      <c r="E9" s="37">
        <f t="shared" si="0"/>
        <v>4.781</v>
      </c>
      <c r="F9" s="37">
        <f t="shared" si="1"/>
        <v>6.879859</v>
      </c>
      <c r="G9" s="37">
        <f t="shared" si="2"/>
        <v>2.049</v>
      </c>
      <c r="H9" s="37">
        <f t="shared" si="3"/>
        <v>2.948511</v>
      </c>
      <c r="I9" s="45">
        <f t="shared" si="4"/>
        <v>9.82837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69</v>
      </c>
      <c r="C10" s="44">
        <v>1</v>
      </c>
      <c r="D10" s="15" t="s">
        <v>17</v>
      </c>
      <c r="E10" s="37">
        <f t="shared" si="0"/>
        <v>27.293</v>
      </c>
      <c r="F10" s="37">
        <f t="shared" si="1"/>
        <v>27.293</v>
      </c>
      <c r="G10" s="37">
        <f t="shared" si="2"/>
        <v>11.697000000000001</v>
      </c>
      <c r="H10" s="37">
        <f t="shared" si="3"/>
        <v>11.697000000000001</v>
      </c>
      <c r="I10" s="45">
        <f t="shared" si="4"/>
        <v>38.99</v>
      </c>
      <c r="J10" s="18">
        <v>94274</v>
      </c>
      <c r="K10" s="16">
        <v>38.99</v>
      </c>
      <c r="M10" s="6"/>
    </row>
    <row r="11" spans="1:13" ht="26.25" thickBot="1">
      <c r="A11" s="51" t="s">
        <v>25</v>
      </c>
      <c r="B11" s="42" t="s">
        <v>70</v>
      </c>
      <c r="C11" s="92">
        <v>0.097</v>
      </c>
      <c r="D11" s="19" t="s">
        <v>8</v>
      </c>
      <c r="E11" s="37">
        <f t="shared" si="0"/>
        <v>325.577</v>
      </c>
      <c r="F11" s="52">
        <f t="shared" si="1"/>
        <v>31.580969</v>
      </c>
      <c r="G11" s="37">
        <f t="shared" si="2"/>
        <v>139.533</v>
      </c>
      <c r="H11" s="52">
        <f t="shared" si="3"/>
        <v>13.534700999999998</v>
      </c>
      <c r="I11" s="93">
        <f t="shared" si="4"/>
        <v>45.115669999999994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772.5179699999998</v>
      </c>
      <c r="G12" s="96"/>
      <c r="H12" s="97">
        <f>SUM(H5:H11)</f>
        <v>331.07912999999996</v>
      </c>
      <c r="I12" s="98">
        <f>SUM(I5:I11)</f>
        <v>1103.5970999999997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230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B1">
      <selection activeCell="K28" sqref="K28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108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48">
        <v>2.48</v>
      </c>
      <c r="D5" s="49" t="s">
        <v>8</v>
      </c>
      <c r="E5" s="37">
        <f>K5*0.7</f>
        <v>424.179</v>
      </c>
      <c r="F5" s="37">
        <f>C5*E5</f>
        <v>1051.96392</v>
      </c>
      <c r="G5" s="37">
        <f>K5*0.3</f>
        <v>181.791</v>
      </c>
      <c r="H5" s="37">
        <f>C5*G5</f>
        <v>450.84168</v>
      </c>
      <c r="I5" s="45">
        <f>F5+H5</f>
        <v>1502.8056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4">
        <v>0.35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83.95415</v>
      </c>
      <c r="G6" s="37">
        <f aca="true" t="shared" si="2" ref="G6:G11">K6*0.3</f>
        <v>102.801</v>
      </c>
      <c r="H6" s="37">
        <f aca="true" t="shared" si="3" ref="H6:H11">C6*G6</f>
        <v>35.98035</v>
      </c>
      <c r="I6" s="45">
        <f aca="true" t="shared" si="4" ref="I6:I11">F6+H6</f>
        <v>119.9345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2.14</v>
      </c>
      <c r="D7" s="50" t="s">
        <v>14</v>
      </c>
      <c r="E7" s="37">
        <f t="shared" si="0"/>
        <v>19.578999999999997</v>
      </c>
      <c r="F7" s="37">
        <f t="shared" si="1"/>
        <v>41.89906</v>
      </c>
      <c r="G7" s="37">
        <f t="shared" si="2"/>
        <v>8.391</v>
      </c>
      <c r="H7" s="37">
        <f t="shared" si="3"/>
        <v>17.95674</v>
      </c>
      <c r="I7" s="45">
        <f t="shared" si="4"/>
        <v>59.8558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6">
        <v>9.359</v>
      </c>
      <c r="D8" s="15" t="s">
        <v>30</v>
      </c>
      <c r="E8" s="37">
        <f t="shared" si="0"/>
        <v>4.221</v>
      </c>
      <c r="F8" s="37">
        <f t="shared" si="1"/>
        <v>39.504339</v>
      </c>
      <c r="G8" s="37">
        <f t="shared" si="2"/>
        <v>1.809</v>
      </c>
      <c r="H8" s="37">
        <f t="shared" si="3"/>
        <v>16.930431</v>
      </c>
      <c r="I8" s="45">
        <f t="shared" si="4"/>
        <v>56.43477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1.744</v>
      </c>
      <c r="D9" s="15" t="s">
        <v>30</v>
      </c>
      <c r="E9" s="37">
        <f t="shared" si="0"/>
        <v>4.781</v>
      </c>
      <c r="F9" s="37">
        <f t="shared" si="1"/>
        <v>8.338064</v>
      </c>
      <c r="G9" s="37">
        <f t="shared" si="2"/>
        <v>2.049</v>
      </c>
      <c r="H9" s="37">
        <f t="shared" si="3"/>
        <v>3.5734559999999997</v>
      </c>
      <c r="I9" s="45">
        <f t="shared" si="4"/>
        <v>11.91152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110</v>
      </c>
      <c r="C10" s="44">
        <v>1</v>
      </c>
      <c r="D10" s="15" t="s">
        <v>17</v>
      </c>
      <c r="E10" s="37">
        <f t="shared" si="0"/>
        <v>83.097</v>
      </c>
      <c r="F10" s="37">
        <f t="shared" si="1"/>
        <v>83.097</v>
      </c>
      <c r="G10" s="37">
        <f t="shared" si="2"/>
        <v>35.613</v>
      </c>
      <c r="H10" s="37">
        <f t="shared" si="3"/>
        <v>35.613</v>
      </c>
      <c r="I10" s="45">
        <f t="shared" si="4"/>
        <v>118.71</v>
      </c>
      <c r="J10" s="18">
        <v>73606</v>
      </c>
      <c r="K10" s="16">
        <v>118.71</v>
      </c>
      <c r="M10" s="6"/>
    </row>
    <row r="11" spans="1:13" ht="26.25" thickBot="1">
      <c r="A11" s="51" t="s">
        <v>25</v>
      </c>
      <c r="B11" s="42" t="s">
        <v>70</v>
      </c>
      <c r="C11" s="92">
        <v>0.195</v>
      </c>
      <c r="D11" s="19" t="s">
        <v>8</v>
      </c>
      <c r="E11" s="37">
        <f t="shared" si="0"/>
        <v>325.577</v>
      </c>
      <c r="F11" s="52">
        <f t="shared" si="1"/>
        <v>63.487515</v>
      </c>
      <c r="G11" s="37">
        <f t="shared" si="2"/>
        <v>139.533</v>
      </c>
      <c r="H11" s="52">
        <f t="shared" si="3"/>
        <v>27.208934999999997</v>
      </c>
      <c r="I11" s="93">
        <f t="shared" si="4"/>
        <v>90.69645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1372.244048</v>
      </c>
      <c r="G12" s="96"/>
      <c r="H12" s="97">
        <f>SUM(H5:H11)</f>
        <v>588.104592</v>
      </c>
      <c r="I12" s="98">
        <f>SUM(I5:I11)-0.01</f>
        <v>1960.3386400000002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230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K30" sqref="K30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111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48">
        <v>3.12</v>
      </c>
      <c r="D5" s="49" t="s">
        <v>8</v>
      </c>
      <c r="E5" s="37">
        <f>K5*0.7</f>
        <v>424.179</v>
      </c>
      <c r="F5" s="37">
        <f>C5*E5</f>
        <v>1323.43848</v>
      </c>
      <c r="G5" s="37">
        <f>K5*0.3</f>
        <v>181.791</v>
      </c>
      <c r="H5" s="37">
        <f>C5*G5</f>
        <v>567.18792</v>
      </c>
      <c r="I5" s="45">
        <f>F5+H5</f>
        <v>1890.6264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4">
        <v>0.51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122.33319</v>
      </c>
      <c r="G6" s="37">
        <f aca="true" t="shared" si="2" ref="G6:G11">K6*0.3</f>
        <v>102.801</v>
      </c>
      <c r="H6" s="37">
        <f aca="true" t="shared" si="3" ref="H6:H11">C6*G6</f>
        <v>52.42851</v>
      </c>
      <c r="I6" s="45">
        <f aca="true" t="shared" si="4" ref="I6:I11">F6+H6</f>
        <v>174.76170000000002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3.74</v>
      </c>
      <c r="D7" s="50" t="s">
        <v>14</v>
      </c>
      <c r="E7" s="37">
        <f t="shared" si="0"/>
        <v>19.578999999999997</v>
      </c>
      <c r="F7" s="37">
        <f t="shared" si="1"/>
        <v>73.22546</v>
      </c>
      <c r="G7" s="37">
        <f t="shared" si="2"/>
        <v>8.391</v>
      </c>
      <c r="H7" s="37">
        <f t="shared" si="3"/>
        <v>31.382340000000003</v>
      </c>
      <c r="I7" s="45">
        <f t="shared" si="4"/>
        <v>104.6078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6">
        <v>13.279</v>
      </c>
      <c r="D8" s="15" t="s">
        <v>30</v>
      </c>
      <c r="E8" s="37">
        <f t="shared" si="0"/>
        <v>4.221</v>
      </c>
      <c r="F8" s="37">
        <f t="shared" si="1"/>
        <v>56.050659</v>
      </c>
      <c r="G8" s="37">
        <f t="shared" si="2"/>
        <v>1.809</v>
      </c>
      <c r="H8" s="37">
        <f t="shared" si="3"/>
        <v>24.021711</v>
      </c>
      <c r="I8" s="45">
        <f t="shared" si="4"/>
        <v>80.07237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3.488</v>
      </c>
      <c r="D9" s="15" t="s">
        <v>30</v>
      </c>
      <c r="E9" s="37">
        <f t="shared" si="0"/>
        <v>4.781</v>
      </c>
      <c r="F9" s="37">
        <f t="shared" si="1"/>
        <v>16.676128</v>
      </c>
      <c r="G9" s="37">
        <f t="shared" si="2"/>
        <v>2.049</v>
      </c>
      <c r="H9" s="37">
        <f t="shared" si="3"/>
        <v>7.1469119999999995</v>
      </c>
      <c r="I9" s="45">
        <f t="shared" si="4"/>
        <v>23.82304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110</v>
      </c>
      <c r="C10" s="44">
        <v>1</v>
      </c>
      <c r="D10" s="15" t="s">
        <v>17</v>
      </c>
      <c r="E10" s="37">
        <f t="shared" si="0"/>
        <v>83.097</v>
      </c>
      <c r="F10" s="37">
        <f t="shared" si="1"/>
        <v>83.097</v>
      </c>
      <c r="G10" s="37">
        <f t="shared" si="2"/>
        <v>35.613</v>
      </c>
      <c r="H10" s="37">
        <f t="shared" si="3"/>
        <v>35.613</v>
      </c>
      <c r="I10" s="45">
        <f t="shared" si="4"/>
        <v>118.71</v>
      </c>
      <c r="J10" s="18">
        <v>73606</v>
      </c>
      <c r="K10" s="16">
        <v>118.71</v>
      </c>
      <c r="M10" s="6"/>
    </row>
    <row r="11" spans="1:13" ht="26.25" thickBot="1">
      <c r="A11" s="51" t="s">
        <v>25</v>
      </c>
      <c r="B11" s="42" t="s">
        <v>70</v>
      </c>
      <c r="C11" s="92">
        <v>0.259</v>
      </c>
      <c r="D11" s="19" t="s">
        <v>8</v>
      </c>
      <c r="E11" s="37">
        <f t="shared" si="0"/>
        <v>325.577</v>
      </c>
      <c r="F11" s="52">
        <f t="shared" si="1"/>
        <v>84.324443</v>
      </c>
      <c r="G11" s="37">
        <f t="shared" si="2"/>
        <v>139.533</v>
      </c>
      <c r="H11" s="52">
        <f t="shared" si="3"/>
        <v>36.139047</v>
      </c>
      <c r="I11" s="93">
        <f t="shared" si="4"/>
        <v>120.46349000000001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1759.1453600000002</v>
      </c>
      <c r="G12" s="96"/>
      <c r="H12" s="97">
        <f>SUM(H5:H11)</f>
        <v>753.91944</v>
      </c>
      <c r="I12" s="98">
        <f>SUM(I5:I11)+0.01</f>
        <v>2513.0748000000003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227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L31" sqref="L31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112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48">
        <v>3.92</v>
      </c>
      <c r="D5" s="49" t="s">
        <v>8</v>
      </c>
      <c r="E5" s="37">
        <f>K5*0.7</f>
        <v>424.179</v>
      </c>
      <c r="F5" s="37">
        <f>C5*E5</f>
        <v>1662.7816799999998</v>
      </c>
      <c r="G5" s="37">
        <f>K5*0.3</f>
        <v>181.791</v>
      </c>
      <c r="H5" s="37">
        <f>C5*G5</f>
        <v>712.62072</v>
      </c>
      <c r="I5" s="45">
        <f>F5+H5</f>
        <v>2375.4024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4">
        <v>0.51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122.33319</v>
      </c>
      <c r="G6" s="37">
        <f aca="true" t="shared" si="2" ref="G6:G11">K6*0.3</f>
        <v>102.801</v>
      </c>
      <c r="H6" s="37">
        <f aca="true" t="shared" si="3" ref="H6:H11">C6*G6</f>
        <v>52.42851</v>
      </c>
      <c r="I6" s="45">
        <f aca="true" t="shared" si="4" ref="I6:I11">F6+H6</f>
        <v>174.76170000000002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3.74</v>
      </c>
      <c r="D7" s="50" t="s">
        <v>14</v>
      </c>
      <c r="E7" s="37">
        <f t="shared" si="0"/>
        <v>19.578999999999997</v>
      </c>
      <c r="F7" s="37">
        <f t="shared" si="1"/>
        <v>73.22546</v>
      </c>
      <c r="G7" s="37">
        <f t="shared" si="2"/>
        <v>8.391</v>
      </c>
      <c r="H7" s="37">
        <f t="shared" si="3"/>
        <v>31.382340000000003</v>
      </c>
      <c r="I7" s="45">
        <f t="shared" si="4"/>
        <v>104.6078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6">
        <v>13.279</v>
      </c>
      <c r="D8" s="15" t="s">
        <v>30</v>
      </c>
      <c r="E8" s="37">
        <f t="shared" si="0"/>
        <v>4.221</v>
      </c>
      <c r="F8" s="37">
        <f t="shared" si="1"/>
        <v>56.050659</v>
      </c>
      <c r="G8" s="37">
        <f t="shared" si="2"/>
        <v>1.809</v>
      </c>
      <c r="H8" s="37">
        <f t="shared" si="3"/>
        <v>24.021711</v>
      </c>
      <c r="I8" s="45">
        <f t="shared" si="4"/>
        <v>80.07237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3.488</v>
      </c>
      <c r="D9" s="15" t="s">
        <v>30</v>
      </c>
      <c r="E9" s="37">
        <f t="shared" si="0"/>
        <v>4.781</v>
      </c>
      <c r="F9" s="37">
        <f t="shared" si="1"/>
        <v>16.676128</v>
      </c>
      <c r="G9" s="37">
        <f t="shared" si="2"/>
        <v>2.049</v>
      </c>
      <c r="H9" s="37">
        <f t="shared" si="3"/>
        <v>7.1469119999999995</v>
      </c>
      <c r="I9" s="45">
        <f t="shared" si="4"/>
        <v>23.82304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110</v>
      </c>
      <c r="C10" s="44">
        <v>1</v>
      </c>
      <c r="D10" s="15" t="s">
        <v>17</v>
      </c>
      <c r="E10" s="37">
        <f t="shared" si="0"/>
        <v>83.097</v>
      </c>
      <c r="F10" s="37">
        <f t="shared" si="1"/>
        <v>83.097</v>
      </c>
      <c r="G10" s="37">
        <f t="shared" si="2"/>
        <v>35.613</v>
      </c>
      <c r="H10" s="37">
        <f t="shared" si="3"/>
        <v>35.613</v>
      </c>
      <c r="I10" s="45">
        <f t="shared" si="4"/>
        <v>118.71</v>
      </c>
      <c r="J10" s="18">
        <v>73606</v>
      </c>
      <c r="K10" s="16">
        <v>118.71</v>
      </c>
      <c r="M10" s="6"/>
    </row>
    <row r="11" spans="1:13" ht="26.25" thickBot="1">
      <c r="A11" s="51" t="s">
        <v>25</v>
      </c>
      <c r="B11" s="42" t="s">
        <v>70</v>
      </c>
      <c r="C11" s="92">
        <v>0.324</v>
      </c>
      <c r="D11" s="19" t="s">
        <v>8</v>
      </c>
      <c r="E11" s="37">
        <f t="shared" si="0"/>
        <v>325.577</v>
      </c>
      <c r="F11" s="52">
        <f t="shared" si="1"/>
        <v>105.486948</v>
      </c>
      <c r="G11" s="37">
        <f t="shared" si="2"/>
        <v>139.533</v>
      </c>
      <c r="H11" s="52">
        <f t="shared" si="3"/>
        <v>45.208692</v>
      </c>
      <c r="I11" s="93">
        <f t="shared" si="4"/>
        <v>150.69564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2119.651065</v>
      </c>
      <c r="G12" s="96"/>
      <c r="H12" s="97">
        <f>SUM(H5:H11)</f>
        <v>908.4218850000001</v>
      </c>
      <c r="I12" s="98">
        <f>SUM(I5:I11)</f>
        <v>3028.0729499999998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227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BreakPreview" zoomScale="90" zoomScaleSheetLayoutView="90" zoomScalePageLayoutView="0" workbookViewId="0" topLeftCell="A1">
      <selection activeCell="L24" sqref="L24"/>
    </sheetView>
  </sheetViews>
  <sheetFormatPr defaultColWidth="9.140625" defaultRowHeight="12.75"/>
  <cols>
    <col min="1" max="1" width="9.140625" style="1" customWidth="1"/>
    <col min="2" max="2" width="23.421875" style="1" customWidth="1"/>
    <col min="3" max="3" width="15.28125" style="1" bestFit="1" customWidth="1"/>
    <col min="4" max="4" width="13.57421875" style="1" bestFit="1" customWidth="1"/>
    <col min="5" max="5" width="7.8515625" style="1" bestFit="1" customWidth="1"/>
    <col min="6" max="6" width="13.57421875" style="1" bestFit="1" customWidth="1"/>
    <col min="7" max="7" width="7.57421875" style="1" bestFit="1" customWidth="1"/>
    <col min="8" max="8" width="13.57421875" style="1" bestFit="1" customWidth="1"/>
    <col min="9" max="9" width="8.8515625" style="1" customWidth="1"/>
    <col min="10" max="10" width="14.8515625" style="1" bestFit="1" customWidth="1"/>
    <col min="11" max="11" width="8.57421875" style="1" bestFit="1" customWidth="1"/>
    <col min="12" max="16384" width="9.140625" style="1" customWidth="1"/>
  </cols>
  <sheetData>
    <row r="1" spans="1:11" ht="15">
      <c r="A1" s="319" t="s">
        <v>63</v>
      </c>
      <c r="B1" s="320"/>
      <c r="C1" s="320"/>
      <c r="D1" s="320"/>
      <c r="E1" s="320"/>
      <c r="F1" s="320"/>
      <c r="G1" s="320"/>
      <c r="H1" s="320"/>
      <c r="I1" s="320"/>
      <c r="J1" s="320"/>
      <c r="K1" s="321"/>
    </row>
    <row r="2" spans="1:11" ht="15">
      <c r="A2" s="322" t="s">
        <v>250</v>
      </c>
      <c r="B2" s="323"/>
      <c r="C2" s="323"/>
      <c r="D2" s="323"/>
      <c r="E2" s="323"/>
      <c r="F2" s="323"/>
      <c r="G2" s="323"/>
      <c r="H2" s="323"/>
      <c r="I2" s="323"/>
      <c r="J2" s="323"/>
      <c r="K2" s="324"/>
    </row>
    <row r="3" spans="1:11" ht="15">
      <c r="A3" s="322" t="s">
        <v>249</v>
      </c>
      <c r="B3" s="323"/>
      <c r="C3" s="323"/>
      <c r="D3" s="323"/>
      <c r="E3" s="323"/>
      <c r="F3" s="323"/>
      <c r="G3" s="323"/>
      <c r="H3" s="323"/>
      <c r="I3" s="323"/>
      <c r="J3" s="323"/>
      <c r="K3" s="324"/>
    </row>
    <row r="4" spans="1:11" ht="14.25" customHeight="1">
      <c r="A4" s="322" t="s">
        <v>64</v>
      </c>
      <c r="B4" s="323"/>
      <c r="C4" s="323"/>
      <c r="D4" s="323"/>
      <c r="E4" s="323"/>
      <c r="F4" s="323"/>
      <c r="G4" s="323"/>
      <c r="H4" s="323"/>
      <c r="I4" s="323"/>
      <c r="J4" s="323"/>
      <c r="K4" s="324"/>
    </row>
    <row r="5" spans="1:11" ht="14.25" customHeight="1">
      <c r="A5" s="325" t="s">
        <v>256</v>
      </c>
      <c r="B5" s="326"/>
      <c r="C5" s="326"/>
      <c r="D5" s="326"/>
      <c r="E5" s="326"/>
      <c r="F5" s="326"/>
      <c r="G5" s="326"/>
      <c r="H5" s="326"/>
      <c r="I5" s="326"/>
      <c r="J5" s="326"/>
      <c r="K5" s="327"/>
    </row>
    <row r="6" spans="1:11" ht="15">
      <c r="A6" s="328" t="s">
        <v>257</v>
      </c>
      <c r="B6" s="329"/>
      <c r="C6" s="329"/>
      <c r="D6" s="329"/>
      <c r="E6" s="329"/>
      <c r="F6" s="329"/>
      <c r="G6" s="329"/>
      <c r="H6" s="329"/>
      <c r="I6" s="329"/>
      <c r="J6" s="329"/>
      <c r="K6" s="330"/>
    </row>
    <row r="7" spans="1:11" ht="15">
      <c r="A7" s="47" t="s">
        <v>0</v>
      </c>
      <c r="B7" s="47" t="s">
        <v>29</v>
      </c>
      <c r="C7" s="47" t="s">
        <v>50</v>
      </c>
      <c r="D7" s="63" t="s">
        <v>251</v>
      </c>
      <c r="E7" s="64" t="s">
        <v>47</v>
      </c>
      <c r="F7" s="63" t="s">
        <v>252</v>
      </c>
      <c r="G7" s="64" t="s">
        <v>47</v>
      </c>
      <c r="H7" s="63" t="s">
        <v>253</v>
      </c>
      <c r="I7" s="64" t="s">
        <v>47</v>
      </c>
      <c r="J7" s="63" t="s">
        <v>4</v>
      </c>
      <c r="K7" s="64" t="s">
        <v>47</v>
      </c>
    </row>
    <row r="8" spans="1:11" ht="15">
      <c r="A8" s="189">
        <v>1</v>
      </c>
      <c r="B8" s="58" t="str">
        <f>Orçamento!B10</f>
        <v>REDE PLUVIAL</v>
      </c>
      <c r="C8" s="62">
        <f>Orçamento!I33</f>
        <v>596666.773989</v>
      </c>
      <c r="D8" s="59">
        <f>C8*E8</f>
        <v>208833.37089614998</v>
      </c>
      <c r="E8" s="60">
        <v>0.35</v>
      </c>
      <c r="F8" s="59">
        <f>C8*G8</f>
        <v>208833.37089614998</v>
      </c>
      <c r="G8" s="60">
        <v>0.35</v>
      </c>
      <c r="H8" s="59">
        <f>C8*I8</f>
        <v>179000.0321967</v>
      </c>
      <c r="I8" s="60">
        <v>0.3</v>
      </c>
      <c r="J8" s="61">
        <f>D8+F8+H8</f>
        <v>596666.7739889999</v>
      </c>
      <c r="K8" s="60">
        <f>E8+G8+I8</f>
        <v>1</v>
      </c>
    </row>
    <row r="9" spans="1:11" ht="25.5">
      <c r="A9" s="189">
        <v>2</v>
      </c>
      <c r="B9" s="136" t="str">
        <f>Orçamento!B34</f>
        <v>REDE DE DISTRIBUIÇÃO DE ÁGUA</v>
      </c>
      <c r="C9" s="62">
        <f>Orçamento!I67</f>
        <v>133710.13653192</v>
      </c>
      <c r="D9" s="59">
        <f>C9*E9</f>
        <v>61506.662804683205</v>
      </c>
      <c r="E9" s="60">
        <v>0.46</v>
      </c>
      <c r="F9" s="59">
        <f>C9*G9</f>
        <v>42787.2436902144</v>
      </c>
      <c r="G9" s="60">
        <v>0.32</v>
      </c>
      <c r="H9" s="59">
        <f>C9*I9</f>
        <v>29416.2300370224</v>
      </c>
      <c r="I9" s="60">
        <v>0.22</v>
      </c>
      <c r="J9" s="61">
        <f>D9+F9+H9</f>
        <v>133710.13653192003</v>
      </c>
      <c r="K9" s="60">
        <f>E9+G9+I9</f>
        <v>1</v>
      </c>
    </row>
    <row r="10" spans="1:11" ht="15">
      <c r="A10" s="316" t="s">
        <v>4</v>
      </c>
      <c r="B10" s="318"/>
      <c r="C10" s="62">
        <f>SUM(C8:C9)</f>
        <v>730376.9105209201</v>
      </c>
      <c r="D10" s="59"/>
      <c r="E10" s="60"/>
      <c r="F10" s="59"/>
      <c r="G10" s="60"/>
      <c r="H10" s="59"/>
      <c r="I10" s="60"/>
      <c r="J10" s="61"/>
      <c r="K10" s="60"/>
    </row>
    <row r="11" spans="1:11" ht="15">
      <c r="A11" s="316" t="s">
        <v>48</v>
      </c>
      <c r="B11" s="317"/>
      <c r="C11" s="318"/>
      <c r="D11" s="65">
        <f>SUM(D8:D9)</f>
        <v>270340.0337008332</v>
      </c>
      <c r="E11" s="66">
        <f>D11/C10</f>
        <v>0.3701377053499967</v>
      </c>
      <c r="F11" s="65">
        <f>SUM(F8:F9)</f>
        <v>251620.6145863644</v>
      </c>
      <c r="G11" s="66">
        <f>F11/C10</f>
        <v>0.34450789854090996</v>
      </c>
      <c r="H11" s="65">
        <f>SUM(H8:H9)</f>
        <v>208416.2622337224</v>
      </c>
      <c r="I11" s="66">
        <f>H11/C10</f>
        <v>0.2853543961090933</v>
      </c>
      <c r="J11" s="314">
        <f>SUM(J8:J9)</f>
        <v>730376.91052092</v>
      </c>
      <c r="K11" s="315">
        <f>E11+G11+I11</f>
        <v>0.9999999999999999</v>
      </c>
    </row>
    <row r="12" spans="1:11" ht="15">
      <c r="A12" s="316" t="s">
        <v>49</v>
      </c>
      <c r="B12" s="317"/>
      <c r="C12" s="318"/>
      <c r="D12" s="65">
        <f>SUM(D8:D9)</f>
        <v>270340.0337008332</v>
      </c>
      <c r="E12" s="66">
        <f>E11</f>
        <v>0.3701377053499967</v>
      </c>
      <c r="F12" s="65">
        <f>SUM(D12+F11)</f>
        <v>521960.6482871976</v>
      </c>
      <c r="G12" s="66">
        <f>E12+G11</f>
        <v>0.7146456038909066</v>
      </c>
      <c r="H12" s="65">
        <f>SUM(F12+H11)</f>
        <v>730376.91052092</v>
      </c>
      <c r="I12" s="66">
        <f>SUM(G12+I11)</f>
        <v>0.9999999999999999</v>
      </c>
      <c r="J12" s="314"/>
      <c r="K12" s="315"/>
    </row>
    <row r="13" spans="1:11" ht="15">
      <c r="A13"/>
      <c r="B13"/>
      <c r="C13"/>
      <c r="D13"/>
      <c r="E13"/>
      <c r="F13"/>
      <c r="G13"/>
      <c r="H13"/>
      <c r="I13"/>
      <c r="J13"/>
      <c r="K13"/>
    </row>
    <row r="14" spans="1:11" ht="15">
      <c r="A14" s="7" t="s">
        <v>230</v>
      </c>
      <c r="B14" s="7"/>
      <c r="C14" s="43"/>
      <c r="D14" s="21"/>
      <c r="E14" s="30"/>
      <c r="F14" s="31"/>
      <c r="G14" s="31"/>
      <c r="H14" s="31"/>
      <c r="I14" s="31"/>
      <c r="J14"/>
      <c r="K14"/>
    </row>
    <row r="15" spans="1:11" ht="15">
      <c r="A15" s="9"/>
      <c r="B15" s="10"/>
      <c r="C15" s="120"/>
      <c r="D15" s="22"/>
      <c r="E15" s="34"/>
      <c r="F15" s="32"/>
      <c r="G15" s="32"/>
      <c r="H15" s="32"/>
      <c r="I15" s="33"/>
      <c r="J15"/>
      <c r="K15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/>
      <c r="K16"/>
    </row>
    <row r="17" spans="1:11" ht="15">
      <c r="A17" s="7"/>
      <c r="B17" s="27"/>
      <c r="C17" s="29"/>
      <c r="D17" s="281" t="s">
        <v>71</v>
      </c>
      <c r="E17" s="281"/>
      <c r="F17" s="281"/>
      <c r="G17" s="7"/>
      <c r="H17" s="293" t="s">
        <v>254</v>
      </c>
      <c r="I17" s="293"/>
      <c r="J17"/>
      <c r="K17"/>
    </row>
    <row r="18" spans="1:11" ht="15">
      <c r="A18" s="7"/>
      <c r="B18" s="27"/>
      <c r="C18" s="29"/>
      <c r="D18" s="281" t="s">
        <v>41</v>
      </c>
      <c r="E18" s="281"/>
      <c r="F18" s="281"/>
      <c r="G18" s="7"/>
      <c r="H18" s="293" t="s">
        <v>46</v>
      </c>
      <c r="I18" s="293"/>
      <c r="J18"/>
      <c r="K18"/>
    </row>
    <row r="19" spans="1:11" ht="15">
      <c r="A19" s="7"/>
      <c r="B19" s="27"/>
      <c r="C19" s="27"/>
      <c r="D19" s="281" t="s">
        <v>72</v>
      </c>
      <c r="E19" s="281"/>
      <c r="F19" s="281"/>
      <c r="G19" s="7"/>
      <c r="H19" s="281" t="s">
        <v>74</v>
      </c>
      <c r="I19" s="281"/>
      <c r="J19"/>
      <c r="K19"/>
    </row>
    <row r="20" spans="2:6" ht="15">
      <c r="B20" s="166"/>
      <c r="C20" s="166"/>
      <c r="D20" s="166"/>
      <c r="E20" s="172"/>
      <c r="F20" s="173"/>
    </row>
    <row r="21" spans="2:6" ht="15">
      <c r="B21" s="174"/>
      <c r="C21" s="174"/>
      <c r="D21" s="174"/>
      <c r="E21" s="172"/>
      <c r="F21" s="173"/>
    </row>
    <row r="22" spans="2:6" ht="15">
      <c r="B22" s="176"/>
      <c r="C22" s="176"/>
      <c r="D22" s="176"/>
      <c r="E22" s="176"/>
      <c r="F22" s="173"/>
    </row>
    <row r="23" spans="2:6" ht="15">
      <c r="B23" s="166"/>
      <c r="C23" s="166"/>
      <c r="D23" s="166"/>
      <c r="E23" s="166"/>
      <c r="F23" s="173"/>
    </row>
    <row r="24" spans="2:6" ht="15">
      <c r="B24" s="166"/>
      <c r="C24" s="166"/>
      <c r="D24" s="166"/>
      <c r="E24" s="166"/>
      <c r="F24" s="173"/>
    </row>
    <row r="25" spans="2:6" ht="15">
      <c r="B25" s="166"/>
      <c r="C25" s="166"/>
      <c r="D25" s="166"/>
      <c r="E25" s="166"/>
      <c r="F25" s="173"/>
    </row>
    <row r="26" spans="2:6" ht="15">
      <c r="B26" s="166"/>
      <c r="C26" s="166"/>
      <c r="D26" s="166"/>
      <c r="E26" s="166"/>
      <c r="F26" s="173"/>
    </row>
    <row r="27" spans="2:6" ht="15">
      <c r="B27" s="172"/>
      <c r="C27" s="166"/>
      <c r="D27" s="166"/>
      <c r="E27" s="166"/>
      <c r="F27" s="173"/>
    </row>
    <row r="28" spans="2:6" ht="15">
      <c r="B28" s="172"/>
      <c r="C28" s="166"/>
      <c r="D28" s="166"/>
      <c r="E28" s="166"/>
      <c r="F28" s="173"/>
    </row>
    <row r="29" spans="2:6" ht="15">
      <c r="B29" s="172"/>
      <c r="C29" s="166"/>
      <c r="D29" s="166"/>
      <c r="E29" s="166"/>
      <c r="F29" s="173"/>
    </row>
    <row r="30" spans="2:6" ht="15">
      <c r="B30" s="172"/>
      <c r="C30" s="166"/>
      <c r="D30" s="166"/>
      <c r="E30" s="166"/>
      <c r="F30" s="173"/>
    </row>
    <row r="31" spans="2:6" ht="15">
      <c r="B31" s="172"/>
      <c r="C31" s="166"/>
      <c r="D31" s="166"/>
      <c r="E31" s="166"/>
      <c r="F31" s="173"/>
    </row>
    <row r="32" spans="2:6" ht="15">
      <c r="B32" s="172"/>
      <c r="C32" s="166"/>
      <c r="D32" s="166"/>
      <c r="E32" s="166"/>
      <c r="F32" s="173"/>
    </row>
    <row r="33" spans="2:6" ht="15">
      <c r="B33" s="172"/>
      <c r="C33" s="166"/>
      <c r="D33" s="166"/>
      <c r="E33" s="166"/>
      <c r="F33" s="173"/>
    </row>
    <row r="34" spans="2:6" ht="15">
      <c r="B34" s="166"/>
      <c r="C34" s="166"/>
      <c r="D34" s="166"/>
      <c r="E34" s="166"/>
      <c r="F34" s="173"/>
    </row>
    <row r="35" spans="2:6" ht="15">
      <c r="B35" s="166"/>
      <c r="C35" s="166"/>
      <c r="D35" s="166"/>
      <c r="E35" s="166"/>
      <c r="F35" s="173"/>
    </row>
    <row r="36" spans="2:6" ht="15">
      <c r="B36" s="166"/>
      <c r="C36" s="176"/>
      <c r="D36" s="176"/>
      <c r="E36" s="166"/>
      <c r="F36" s="173"/>
    </row>
    <row r="37" spans="2:6" ht="15">
      <c r="B37" s="166"/>
      <c r="C37" s="126"/>
      <c r="D37" s="126"/>
      <c r="E37" s="32"/>
      <c r="F37" s="173"/>
    </row>
    <row r="38" spans="2:6" ht="15">
      <c r="B38" s="166"/>
      <c r="C38" s="126"/>
      <c r="D38" s="126"/>
      <c r="E38" s="32"/>
      <c r="F38" s="173"/>
    </row>
    <row r="39" spans="2:6" ht="15">
      <c r="B39" s="166"/>
      <c r="C39" s="126"/>
      <c r="D39" s="126"/>
      <c r="E39" s="53"/>
      <c r="F39" s="173"/>
    </row>
    <row r="40" spans="2:6" ht="15">
      <c r="B40" s="166"/>
      <c r="C40" s="166"/>
      <c r="D40" s="166"/>
      <c r="E40" s="166"/>
      <c r="F40" s="173"/>
    </row>
    <row r="41" spans="2:6" ht="15">
      <c r="B41" s="166"/>
      <c r="C41" s="176"/>
      <c r="D41" s="176"/>
      <c r="E41" s="166"/>
      <c r="F41" s="173"/>
    </row>
    <row r="42" spans="2:6" ht="15">
      <c r="B42" s="166"/>
      <c r="C42" s="175"/>
      <c r="D42" s="175"/>
      <c r="E42" s="166"/>
      <c r="F42" s="173"/>
    </row>
    <row r="43" spans="2:6" ht="15">
      <c r="B43" s="166"/>
      <c r="C43" s="32"/>
      <c r="D43" s="32"/>
      <c r="E43" s="166"/>
      <c r="F43" s="173"/>
    </row>
    <row r="44" spans="2:6" ht="15">
      <c r="B44" s="166"/>
      <c r="C44" s="126"/>
      <c r="D44" s="126"/>
      <c r="E44" s="166"/>
      <c r="F44" s="173"/>
    </row>
  </sheetData>
  <sheetProtection/>
  <mergeCells count="17">
    <mergeCell ref="A10:B10"/>
    <mergeCell ref="A11:C11"/>
    <mergeCell ref="D19:F19"/>
    <mergeCell ref="A1:K1"/>
    <mergeCell ref="A2:K2"/>
    <mergeCell ref="A3:K3"/>
    <mergeCell ref="A4:K4"/>
    <mergeCell ref="A5:K5"/>
    <mergeCell ref="A6:K6"/>
    <mergeCell ref="H19:I19"/>
    <mergeCell ref="J11:J12"/>
    <mergeCell ref="K11:K12"/>
    <mergeCell ref="A12:C12"/>
    <mergeCell ref="D17:F17"/>
    <mergeCell ref="H17:I17"/>
    <mergeCell ref="D18:F18"/>
    <mergeCell ref="H18:I1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showGridLines="0" view="pageBreakPreview" zoomScale="90" zoomScaleSheetLayoutView="90" zoomScalePageLayoutView="0" workbookViewId="0" topLeftCell="A1">
      <selection activeCell="L28" sqref="L28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116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48">
        <v>0.96</v>
      </c>
      <c r="D5" s="49" t="s">
        <v>8</v>
      </c>
      <c r="E5" s="37">
        <f>K5*0.7</f>
        <v>424.179</v>
      </c>
      <c r="F5" s="37">
        <f>C5*E5</f>
        <v>407.21183999999994</v>
      </c>
      <c r="G5" s="37">
        <f>K5*0.3</f>
        <v>181.791</v>
      </c>
      <c r="H5" s="37">
        <f>C5*G5</f>
        <v>174.51935999999998</v>
      </c>
      <c r="I5" s="45">
        <f>F5+H5</f>
        <v>581.7312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4">
        <v>0.56</v>
      </c>
      <c r="D6" s="15" t="s">
        <v>8</v>
      </c>
      <c r="E6" s="37">
        <f>K6*0.7</f>
        <v>239.869</v>
      </c>
      <c r="F6" s="37">
        <f>C6*E6</f>
        <v>134.32664000000003</v>
      </c>
      <c r="G6" s="37">
        <f>K6*0.3</f>
        <v>102.801</v>
      </c>
      <c r="H6" s="37">
        <f>C6*G6</f>
        <v>57.568560000000005</v>
      </c>
      <c r="I6" s="45">
        <f>F6+H6</f>
        <v>191.89520000000005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3.09</v>
      </c>
      <c r="D7" s="50" t="s">
        <v>14</v>
      </c>
      <c r="E7" s="37">
        <f>K7*0.7</f>
        <v>19.578999999999997</v>
      </c>
      <c r="F7" s="37">
        <f>C7*E7</f>
        <v>60.49910999999999</v>
      </c>
      <c r="G7" s="37">
        <f>K7*0.3</f>
        <v>8.391</v>
      </c>
      <c r="H7" s="37">
        <f>C7*G7</f>
        <v>25.928189999999997</v>
      </c>
      <c r="I7" s="45">
        <f>F7+H7</f>
        <v>86.42729999999999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6">
        <v>3.553</v>
      </c>
      <c r="D8" s="15" t="s">
        <v>30</v>
      </c>
      <c r="E8" s="37">
        <f>K8*0.7</f>
        <v>4.221</v>
      </c>
      <c r="F8" s="37">
        <f>C8*E8</f>
        <v>14.997213</v>
      </c>
      <c r="G8" s="37">
        <f>K8*0.3</f>
        <v>1.809</v>
      </c>
      <c r="H8" s="37">
        <f>C8*G8</f>
        <v>6.427377</v>
      </c>
      <c r="I8" s="45">
        <f>F8+H8</f>
        <v>21.424590000000002</v>
      </c>
      <c r="J8" s="18">
        <v>92792</v>
      </c>
      <c r="K8" s="16">
        <v>6.03</v>
      </c>
      <c r="M8" s="6"/>
    </row>
    <row r="9" spans="1:13" ht="26.25" thickBot="1">
      <c r="A9" s="14" t="s">
        <v>20</v>
      </c>
      <c r="B9" s="39" t="s">
        <v>68</v>
      </c>
      <c r="C9" s="46">
        <v>6.289</v>
      </c>
      <c r="D9" s="15" t="s">
        <v>30</v>
      </c>
      <c r="E9" s="37">
        <f>K9*0.7</f>
        <v>4.781</v>
      </c>
      <c r="F9" s="37">
        <f>C9*E9</f>
        <v>30.067708999999997</v>
      </c>
      <c r="G9" s="37">
        <f>K9*0.3</f>
        <v>2.049</v>
      </c>
      <c r="H9" s="37">
        <f>C9*G9</f>
        <v>12.886161</v>
      </c>
      <c r="I9" s="45">
        <f>F9+H9</f>
        <v>42.953869999999995</v>
      </c>
      <c r="J9" s="18">
        <v>92799</v>
      </c>
      <c r="K9" s="16">
        <v>6.83</v>
      </c>
      <c r="M9" s="6"/>
    </row>
    <row r="10" spans="1:13" ht="15.75" thickBot="1">
      <c r="A10" s="94"/>
      <c r="B10" s="67" t="s">
        <v>75</v>
      </c>
      <c r="C10" s="95"/>
      <c r="D10" s="95"/>
      <c r="E10" s="96"/>
      <c r="F10" s="97">
        <f>SUM(F5:F9)</f>
        <v>647.1025119999999</v>
      </c>
      <c r="G10" s="96"/>
      <c r="H10" s="97">
        <f>SUM(H5:H9)</f>
        <v>277.32964799999996</v>
      </c>
      <c r="I10" s="98">
        <f>SUM(I5:I9)</f>
        <v>924.4321599999998</v>
      </c>
      <c r="J10" s="102"/>
      <c r="K10" s="103"/>
      <c r="M10" s="3"/>
    </row>
    <row r="11" spans="1:14" ht="15">
      <c r="A11" s="7"/>
      <c r="B11" s="9"/>
      <c r="C11" s="7"/>
      <c r="D11" s="7"/>
      <c r="E11" s="7"/>
      <c r="F11" s="7"/>
      <c r="G11" s="7"/>
      <c r="H11" s="7"/>
      <c r="I11" s="8"/>
      <c r="J11" s="8"/>
      <c r="K11" s="8"/>
      <c r="L11" s="2"/>
      <c r="N11" s="2"/>
    </row>
    <row r="12" spans="1:12" ht="15">
      <c r="A12" s="7" t="s">
        <v>230</v>
      </c>
      <c r="B12" s="7"/>
      <c r="C12" s="7"/>
      <c r="D12" s="7"/>
      <c r="E12" s="7"/>
      <c r="F12" s="8"/>
      <c r="G12" s="7"/>
      <c r="H12" s="8"/>
      <c r="I12" s="8"/>
      <c r="J12" s="8"/>
      <c r="K12" s="8"/>
      <c r="L12" s="2"/>
    </row>
    <row r="13" spans="1:12" ht="15">
      <c r="A13" s="9"/>
      <c r="B13" s="10"/>
      <c r="C13" s="10"/>
      <c r="D13" s="7"/>
      <c r="E13" s="7"/>
      <c r="F13" s="7"/>
      <c r="G13" s="7"/>
      <c r="H13" s="7"/>
      <c r="I13" s="17"/>
      <c r="J13" s="17"/>
      <c r="K13" s="8"/>
      <c r="L13" s="2"/>
    </row>
    <row r="14" spans="1:11" ht="15">
      <c r="A14" s="9"/>
      <c r="B14" s="10"/>
      <c r="C14" s="10"/>
      <c r="D14" s="11"/>
      <c r="E14" s="11"/>
      <c r="F14" s="11"/>
      <c r="G14" s="7"/>
      <c r="H14" s="54"/>
      <c r="I14" s="56"/>
      <c r="J14" s="8"/>
      <c r="K14" s="8"/>
    </row>
    <row r="15" spans="1:11" ht="15">
      <c r="A15" s="7"/>
      <c r="B15" s="342"/>
      <c r="C15" s="342"/>
      <c r="D15" s="281" t="s">
        <v>71</v>
      </c>
      <c r="E15" s="281"/>
      <c r="F15" s="281"/>
      <c r="G15" s="7"/>
      <c r="H15" s="293" t="s">
        <v>254</v>
      </c>
      <c r="I15" s="293"/>
      <c r="J15" s="7"/>
      <c r="K15" s="7"/>
    </row>
    <row r="16" spans="1:11" ht="15">
      <c r="A16" s="7"/>
      <c r="B16" s="342"/>
      <c r="C16" s="342"/>
      <c r="D16" s="281" t="s">
        <v>41</v>
      </c>
      <c r="E16" s="281"/>
      <c r="F16" s="281"/>
      <c r="G16" s="7"/>
      <c r="H16" s="293" t="s">
        <v>46</v>
      </c>
      <c r="I16" s="293"/>
      <c r="J16" s="7"/>
      <c r="K16" s="7"/>
    </row>
    <row r="17" spans="1:11" ht="15">
      <c r="A17" s="7"/>
      <c r="B17" s="342"/>
      <c r="C17" s="342"/>
      <c r="D17" s="281" t="s">
        <v>72</v>
      </c>
      <c r="E17" s="281"/>
      <c r="F17" s="281"/>
      <c r="G17" s="7"/>
      <c r="H17" s="281" t="s">
        <v>74</v>
      </c>
      <c r="I17" s="281"/>
      <c r="J17" s="7"/>
      <c r="K17" s="7"/>
    </row>
  </sheetData>
  <sheetProtection/>
  <mergeCells count="21">
    <mergeCell ref="B16:C16"/>
    <mergeCell ref="B17:C17"/>
    <mergeCell ref="D3:D4"/>
    <mergeCell ref="B3:B4"/>
    <mergeCell ref="H15:I15"/>
    <mergeCell ref="H17:I17"/>
    <mergeCell ref="G3:H3"/>
    <mergeCell ref="I3:I4"/>
    <mergeCell ref="B15:C15"/>
    <mergeCell ref="D17:F17"/>
    <mergeCell ref="E3:F3"/>
    <mergeCell ref="A1:K1"/>
    <mergeCell ref="A2:F2"/>
    <mergeCell ref="G2:I2"/>
    <mergeCell ref="J2:J4"/>
    <mergeCell ref="K2:K4"/>
    <mergeCell ref="H16:I16"/>
    <mergeCell ref="A3:A4"/>
    <mergeCell ref="D16:F16"/>
    <mergeCell ref="C3:C4"/>
    <mergeCell ref="D15:F1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7"/>
  <sheetViews>
    <sheetView showGridLines="0" view="pageBreakPreview" zoomScale="90" zoomScaleSheetLayoutView="90" zoomScalePageLayoutView="0" workbookViewId="0" topLeftCell="A1">
      <selection activeCell="N17" sqref="N17"/>
    </sheetView>
  </sheetViews>
  <sheetFormatPr defaultColWidth="9.140625" defaultRowHeight="12.75"/>
  <cols>
    <col min="1" max="1" width="9.140625" style="1" customWidth="1"/>
    <col min="2" max="2" width="37.421875" style="1" customWidth="1"/>
    <col min="3" max="3" width="7.8515625" style="1" bestFit="1" customWidth="1"/>
    <col min="4" max="4" width="6.140625" style="1" bestFit="1" customWidth="1"/>
    <col min="5" max="8" width="9.8515625" style="1" bestFit="1" customWidth="1"/>
    <col min="9" max="9" width="11.28125" style="1" bestFit="1" customWidth="1"/>
    <col min="10" max="10" width="9.140625" style="1" customWidth="1"/>
    <col min="11" max="11" width="10.00390625" style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6"/>
      <c r="K1" s="349"/>
    </row>
    <row r="2" spans="1:11" ht="15.75" customHeight="1" thickBot="1">
      <c r="A2" s="345" t="s">
        <v>209</v>
      </c>
      <c r="B2" s="346"/>
      <c r="C2" s="346"/>
      <c r="D2" s="346"/>
      <c r="E2" s="346"/>
      <c r="F2" s="349"/>
      <c r="G2" s="346" t="s">
        <v>205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204</v>
      </c>
      <c r="C5" s="48">
        <v>2.5</v>
      </c>
      <c r="D5" s="49" t="s">
        <v>17</v>
      </c>
      <c r="E5" s="37">
        <f>K5</f>
        <v>3.09</v>
      </c>
      <c r="F5" s="37">
        <f>C5*E5</f>
        <v>7.725</v>
      </c>
      <c r="G5" s="37"/>
      <c r="H5" s="37">
        <f>C5*G5</f>
        <v>0</v>
      </c>
      <c r="I5" s="45">
        <f>F5+H5</f>
        <v>7.725</v>
      </c>
      <c r="J5" s="99">
        <v>38597</v>
      </c>
      <c r="K5" s="100">
        <v>3.09</v>
      </c>
      <c r="M5" s="4"/>
    </row>
    <row r="6" spans="1:13" ht="25.5">
      <c r="A6" s="14" t="s">
        <v>13</v>
      </c>
      <c r="B6" s="39" t="s">
        <v>206</v>
      </c>
      <c r="C6" s="44">
        <v>1.2</v>
      </c>
      <c r="D6" s="15" t="s">
        <v>30</v>
      </c>
      <c r="E6" s="37">
        <f>K6*0.7</f>
        <v>3.78</v>
      </c>
      <c r="F6" s="37">
        <f>C6*E6</f>
        <v>4.536</v>
      </c>
      <c r="G6" s="37">
        <f>K6*0.3</f>
        <v>1.62</v>
      </c>
      <c r="H6" s="37">
        <f>C6*G6</f>
        <v>1.944</v>
      </c>
      <c r="I6" s="37">
        <f>F6+H6</f>
        <v>6.4799999999999995</v>
      </c>
      <c r="J6" s="183">
        <v>92794</v>
      </c>
      <c r="K6" s="105">
        <v>5.4</v>
      </c>
      <c r="M6" s="4"/>
    </row>
    <row r="7" spans="1:13" ht="15">
      <c r="A7" s="14" t="s">
        <v>15</v>
      </c>
      <c r="B7" s="38" t="s">
        <v>66</v>
      </c>
      <c r="C7" s="46">
        <v>0.018</v>
      </c>
      <c r="D7" s="15" t="s">
        <v>8</v>
      </c>
      <c r="E7" s="37">
        <f>K7*0.7</f>
        <v>239.869</v>
      </c>
      <c r="F7" s="37">
        <f>C7*E7</f>
        <v>4.317641999999999</v>
      </c>
      <c r="G7" s="37">
        <f>K7*0.3</f>
        <v>102.801</v>
      </c>
      <c r="H7" s="37">
        <f>C7*G7</f>
        <v>1.850418</v>
      </c>
      <c r="I7" s="37">
        <f>F7+H7</f>
        <v>6.168059999999999</v>
      </c>
      <c r="J7" s="184">
        <v>94971</v>
      </c>
      <c r="K7" s="16">
        <v>342.67</v>
      </c>
      <c r="M7" s="4"/>
    </row>
    <row r="8" spans="1:13" ht="15">
      <c r="A8" s="14" t="s">
        <v>19</v>
      </c>
      <c r="B8" s="38" t="s">
        <v>207</v>
      </c>
      <c r="C8" s="46">
        <v>0.253</v>
      </c>
      <c r="D8" s="15" t="s">
        <v>8</v>
      </c>
      <c r="E8" s="37"/>
      <c r="F8" s="37">
        <f>C8*E8</f>
        <v>0</v>
      </c>
      <c r="G8" s="37">
        <f>K8</f>
        <v>18.65</v>
      </c>
      <c r="H8" s="37">
        <f>C8*G8</f>
        <v>4.71845</v>
      </c>
      <c r="I8" s="37">
        <f>F8+H8</f>
        <v>4.71845</v>
      </c>
      <c r="J8" s="184">
        <v>88309</v>
      </c>
      <c r="K8" s="16">
        <v>18.65</v>
      </c>
      <c r="M8" s="4"/>
    </row>
    <row r="9" spans="1:13" ht="15.75" thickBot="1">
      <c r="A9" s="104" t="s">
        <v>20</v>
      </c>
      <c r="B9" s="38" t="s">
        <v>208</v>
      </c>
      <c r="C9" s="46">
        <v>0.126</v>
      </c>
      <c r="D9" s="15" t="s">
        <v>8</v>
      </c>
      <c r="E9" s="37"/>
      <c r="F9" s="37">
        <f>C9*E9</f>
        <v>0</v>
      </c>
      <c r="G9" s="37">
        <f>K9</f>
        <v>15.66</v>
      </c>
      <c r="H9" s="37">
        <f>C9*G9</f>
        <v>1.97316</v>
      </c>
      <c r="I9" s="37">
        <f>F9+H9</f>
        <v>1.97316</v>
      </c>
      <c r="J9" s="184">
        <v>88316</v>
      </c>
      <c r="K9" s="16">
        <v>15.66</v>
      </c>
      <c r="M9" s="6"/>
    </row>
    <row r="10" spans="1:13" ht="15.75" thickBot="1">
      <c r="A10" s="94"/>
      <c r="B10" s="67" t="s">
        <v>75</v>
      </c>
      <c r="C10" s="95"/>
      <c r="D10" s="95"/>
      <c r="E10" s="96"/>
      <c r="F10" s="97">
        <f>SUM(F5:F9)</f>
        <v>16.578642</v>
      </c>
      <c r="G10" s="96"/>
      <c r="H10" s="97">
        <f>SUM(H5:H9)</f>
        <v>10.486028</v>
      </c>
      <c r="I10" s="98">
        <f>SUM(I5:I9)+0.01</f>
        <v>27.074669999999998</v>
      </c>
      <c r="J10" s="102"/>
      <c r="K10" s="103"/>
      <c r="M10" s="3"/>
    </row>
    <row r="11" spans="1:14" ht="15">
      <c r="A11" s="7"/>
      <c r="B11" s="9"/>
      <c r="C11" s="7"/>
      <c r="D11" s="7"/>
      <c r="E11" s="7"/>
      <c r="F11" s="7"/>
      <c r="G11" s="7"/>
      <c r="H11" s="7"/>
      <c r="I11" s="8"/>
      <c r="J11" s="8"/>
      <c r="K11" s="8"/>
      <c r="L11" s="2"/>
      <c r="N11" s="2"/>
    </row>
    <row r="12" spans="1:12" ht="15">
      <c r="A12" s="7" t="s">
        <v>230</v>
      </c>
      <c r="B12" s="7"/>
      <c r="C12" s="7"/>
      <c r="D12" s="7"/>
      <c r="E12" s="7"/>
      <c r="F12" s="8"/>
      <c r="G12" s="7"/>
      <c r="H12" s="8"/>
      <c r="I12" s="8"/>
      <c r="J12" s="8"/>
      <c r="K12" s="8"/>
      <c r="L12" s="2"/>
    </row>
    <row r="13" spans="1:12" ht="15">
      <c r="A13" s="9"/>
      <c r="B13" s="10"/>
      <c r="C13" s="10"/>
      <c r="D13" s="7"/>
      <c r="E13" s="7"/>
      <c r="F13" s="7"/>
      <c r="G13" s="7"/>
      <c r="H13" s="7"/>
      <c r="I13" s="17"/>
      <c r="J13" s="17"/>
      <c r="K13" s="8"/>
      <c r="L13" s="2"/>
    </row>
    <row r="14" spans="1:11" ht="15">
      <c r="A14" s="9"/>
      <c r="B14" s="10"/>
      <c r="C14" s="10"/>
      <c r="D14" s="11"/>
      <c r="E14" s="11"/>
      <c r="F14" s="11"/>
      <c r="G14" s="7"/>
      <c r="H14" s="54"/>
      <c r="I14" s="56"/>
      <c r="J14" s="8"/>
      <c r="K14" s="8"/>
    </row>
    <row r="15" spans="1:11" ht="15">
      <c r="A15" s="7"/>
      <c r="B15" s="342"/>
      <c r="C15" s="342"/>
      <c r="D15" s="281" t="s">
        <v>71</v>
      </c>
      <c r="E15" s="281"/>
      <c r="F15" s="281"/>
      <c r="G15" s="7"/>
      <c r="H15" s="293" t="s">
        <v>254</v>
      </c>
      <c r="I15" s="293"/>
      <c r="J15" s="7"/>
      <c r="K15" s="7"/>
    </row>
    <row r="16" spans="1:11" ht="15">
      <c r="A16" s="7"/>
      <c r="B16" s="342"/>
      <c r="C16" s="342"/>
      <c r="D16" s="281" t="s">
        <v>41</v>
      </c>
      <c r="E16" s="281"/>
      <c r="F16" s="281"/>
      <c r="G16" s="7"/>
      <c r="H16" s="293" t="s">
        <v>46</v>
      </c>
      <c r="I16" s="293"/>
      <c r="J16" s="7"/>
      <c r="K16" s="7"/>
    </row>
    <row r="17" spans="1:11" ht="15">
      <c r="A17" s="7"/>
      <c r="B17" s="342"/>
      <c r="C17" s="342"/>
      <c r="D17" s="281" t="s">
        <v>72</v>
      </c>
      <c r="E17" s="281"/>
      <c r="F17" s="281"/>
      <c r="G17" s="7"/>
      <c r="H17" s="281" t="s">
        <v>74</v>
      </c>
      <c r="I17" s="281"/>
      <c r="J17" s="7"/>
      <c r="K17" s="7"/>
    </row>
  </sheetData>
  <sheetProtection/>
  <mergeCells count="21">
    <mergeCell ref="A1:K1"/>
    <mergeCell ref="A2:F2"/>
    <mergeCell ref="G2:I2"/>
    <mergeCell ref="J2:J4"/>
    <mergeCell ref="K2:K4"/>
    <mergeCell ref="D3:D4"/>
    <mergeCell ref="A3:A4"/>
    <mergeCell ref="D16:F16"/>
    <mergeCell ref="C3:C4"/>
    <mergeCell ref="D15:F15"/>
    <mergeCell ref="B17:C17"/>
    <mergeCell ref="H15:I15"/>
    <mergeCell ref="H17:I17"/>
    <mergeCell ref="G3:H3"/>
    <mergeCell ref="I3:I4"/>
    <mergeCell ref="B3:B4"/>
    <mergeCell ref="H16:I16"/>
    <mergeCell ref="B15:C15"/>
    <mergeCell ref="D17:F17"/>
    <mergeCell ref="E3:F3"/>
    <mergeCell ref="B16:C1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8"/>
  <sheetViews>
    <sheetView showGridLines="0" view="pageBreakPreview" zoomScale="90" zoomScaleSheetLayoutView="90" zoomScalePageLayoutView="0" workbookViewId="0" topLeftCell="A1">
      <selection activeCell="L15" sqref="L15"/>
    </sheetView>
  </sheetViews>
  <sheetFormatPr defaultColWidth="9.140625" defaultRowHeight="12.75"/>
  <cols>
    <col min="1" max="1" width="9.140625" style="1" customWidth="1"/>
    <col min="2" max="2" width="37.421875" style="1" customWidth="1"/>
    <col min="3" max="3" width="9.7109375" style="1" bestFit="1" customWidth="1"/>
    <col min="4" max="4" width="26.28125" style="1" customWidth="1"/>
    <col min="5" max="5" width="23.28125" style="1" customWidth="1"/>
    <col min="6" max="6" width="22.7109375" style="1" customWidth="1"/>
    <col min="7" max="7" width="17.7109375" style="1" customWidth="1"/>
    <col min="8" max="8" width="9.8515625" style="1" bestFit="1" customWidth="1"/>
    <col min="9" max="9" width="11.28125" style="1" bestFit="1" customWidth="1"/>
    <col min="10" max="11" width="11.710937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62" t="s">
        <v>141</v>
      </c>
      <c r="B1" s="363"/>
      <c r="C1" s="363"/>
      <c r="D1" s="363"/>
      <c r="E1" s="363"/>
      <c r="F1" s="363"/>
      <c r="G1" s="364"/>
      <c r="H1" s="68"/>
      <c r="I1" s="68"/>
      <c r="J1" s="68"/>
      <c r="K1" s="68"/>
    </row>
    <row r="2" spans="1:11" ht="15.75" thickBot="1">
      <c r="A2" s="285" t="s">
        <v>0</v>
      </c>
      <c r="B2" s="285" t="s">
        <v>142</v>
      </c>
      <c r="C2" s="285" t="s">
        <v>42</v>
      </c>
      <c r="D2" s="287" t="s">
        <v>143</v>
      </c>
      <c r="E2" s="288"/>
      <c r="F2" s="289"/>
      <c r="G2" s="366" t="s">
        <v>148</v>
      </c>
      <c r="H2" s="68"/>
      <c r="I2" s="68"/>
      <c r="J2" s="125"/>
      <c r="K2" s="125"/>
    </row>
    <row r="3" spans="1:13" ht="42.75" customHeight="1" thickBot="1">
      <c r="A3" s="365"/>
      <c r="B3" s="365"/>
      <c r="C3" s="365"/>
      <c r="D3" s="112" t="s">
        <v>147</v>
      </c>
      <c r="E3" s="112" t="s">
        <v>146</v>
      </c>
      <c r="F3" s="112" t="s">
        <v>145</v>
      </c>
      <c r="G3" s="367"/>
      <c r="H3" s="68"/>
      <c r="I3" s="68"/>
      <c r="J3" s="125"/>
      <c r="K3" s="125"/>
      <c r="M3" s="185"/>
    </row>
    <row r="4" spans="1:13" ht="14.25" customHeight="1" thickBot="1">
      <c r="A4" s="286"/>
      <c r="B4" s="286"/>
      <c r="C4" s="286"/>
      <c r="D4" s="112" t="s">
        <v>144</v>
      </c>
      <c r="E4" s="112" t="s">
        <v>144</v>
      </c>
      <c r="F4" s="112" t="s">
        <v>144</v>
      </c>
      <c r="G4" s="368"/>
      <c r="H4" s="116"/>
      <c r="I4" s="68"/>
      <c r="J4" s="125"/>
      <c r="K4" s="125"/>
      <c r="M4" s="185"/>
    </row>
    <row r="5" spans="1:13" ht="25.5">
      <c r="A5" s="127">
        <v>1</v>
      </c>
      <c r="B5" s="114" t="s">
        <v>140</v>
      </c>
      <c r="C5" s="113" t="s">
        <v>17</v>
      </c>
      <c r="D5" s="49">
        <v>49.875</v>
      </c>
      <c r="E5" s="132">
        <v>54.075</v>
      </c>
      <c r="F5" s="132">
        <v>55.650000000000006</v>
      </c>
      <c r="G5" s="133">
        <f>(D5+E5+F5)/3</f>
        <v>53.20000000000001</v>
      </c>
      <c r="H5" s="117"/>
      <c r="I5" s="117"/>
      <c r="J5" s="187"/>
      <c r="K5" s="122"/>
      <c r="M5" s="6"/>
    </row>
    <row r="6" spans="1:13" ht="25.5">
      <c r="A6" s="14">
        <v>2</v>
      </c>
      <c r="B6" s="106" t="s">
        <v>153</v>
      </c>
      <c r="C6" s="25" t="s">
        <v>17</v>
      </c>
      <c r="D6" s="15">
        <v>120.22500000000001</v>
      </c>
      <c r="E6" s="109">
        <v>135.975</v>
      </c>
      <c r="F6" s="109">
        <v>144.16500000000002</v>
      </c>
      <c r="G6" s="133">
        <f aca="true" t="shared" si="0" ref="G6:G22">(D6+E6+F6)/3</f>
        <v>133.455</v>
      </c>
      <c r="H6" s="117"/>
      <c r="I6" s="117"/>
      <c r="J6" s="187"/>
      <c r="K6" s="122"/>
      <c r="M6" s="6"/>
    </row>
    <row r="7" spans="1:13" ht="25.5">
      <c r="A7" s="127">
        <v>3</v>
      </c>
      <c r="B7" s="106" t="s">
        <v>152</v>
      </c>
      <c r="C7" s="25" t="s">
        <v>17</v>
      </c>
      <c r="D7" s="15">
        <v>204.75</v>
      </c>
      <c r="E7" s="109">
        <v>215.25</v>
      </c>
      <c r="F7" s="109">
        <v>203.70000000000002</v>
      </c>
      <c r="G7" s="133">
        <f t="shared" si="0"/>
        <v>207.9</v>
      </c>
      <c r="H7" s="117"/>
      <c r="I7" s="117"/>
      <c r="J7" s="187"/>
      <c r="K7" s="122"/>
      <c r="M7" s="6"/>
    </row>
    <row r="8" spans="1:13" ht="25.5">
      <c r="A8" s="14">
        <v>4</v>
      </c>
      <c r="B8" s="106" t="s">
        <v>155</v>
      </c>
      <c r="C8" s="25" t="s">
        <v>17</v>
      </c>
      <c r="D8" s="15">
        <v>101.42999999999999</v>
      </c>
      <c r="E8" s="109">
        <v>106.638</v>
      </c>
      <c r="F8" s="109">
        <v>108.99</v>
      </c>
      <c r="G8" s="133">
        <f t="shared" si="0"/>
        <v>105.68599999999999</v>
      </c>
      <c r="H8" s="117"/>
      <c r="I8" s="117"/>
      <c r="J8" s="187"/>
      <c r="K8" s="122"/>
      <c r="M8" s="186"/>
    </row>
    <row r="9" spans="1:13" ht="25.5">
      <c r="A9" s="127">
        <v>5</v>
      </c>
      <c r="B9" s="106" t="s">
        <v>156</v>
      </c>
      <c r="C9" s="25" t="s">
        <v>17</v>
      </c>
      <c r="D9" s="15">
        <v>131.25</v>
      </c>
      <c r="E9" s="109">
        <v>140.70000000000002</v>
      </c>
      <c r="F9" s="109">
        <v>162.75</v>
      </c>
      <c r="G9" s="133">
        <f t="shared" si="0"/>
        <v>144.9</v>
      </c>
      <c r="H9" s="117"/>
      <c r="I9" s="117"/>
      <c r="J9" s="187"/>
      <c r="K9" s="122"/>
      <c r="M9" s="6"/>
    </row>
    <row r="10" spans="1:13" ht="25.5">
      <c r="A10" s="14">
        <v>6</v>
      </c>
      <c r="B10" s="106" t="s">
        <v>157</v>
      </c>
      <c r="C10" s="25" t="s">
        <v>17</v>
      </c>
      <c r="D10" s="15">
        <v>92.9775</v>
      </c>
      <c r="E10" s="109">
        <v>99.75</v>
      </c>
      <c r="F10" s="109">
        <v>103.42500000000001</v>
      </c>
      <c r="G10" s="133">
        <f t="shared" si="0"/>
        <v>98.71750000000002</v>
      </c>
      <c r="H10" s="117"/>
      <c r="I10" s="117"/>
      <c r="J10" s="187"/>
      <c r="K10" s="122"/>
      <c r="M10" s="6"/>
    </row>
    <row r="11" spans="1:13" ht="25.5">
      <c r="A11" s="127">
        <v>7</v>
      </c>
      <c r="B11" s="106" t="s">
        <v>158</v>
      </c>
      <c r="C11" s="25" t="s">
        <v>17</v>
      </c>
      <c r="D11" s="15">
        <v>138.6</v>
      </c>
      <c r="E11" s="109">
        <v>134.925</v>
      </c>
      <c r="F11" s="109">
        <v>151.725</v>
      </c>
      <c r="G11" s="133">
        <f t="shared" si="0"/>
        <v>141.75</v>
      </c>
      <c r="H11" s="117"/>
      <c r="I11" s="117"/>
      <c r="J11" s="187"/>
      <c r="K11" s="122"/>
      <c r="M11" s="6"/>
    </row>
    <row r="12" spans="1:13" ht="25.5">
      <c r="A12" s="14">
        <v>8</v>
      </c>
      <c r="B12" s="106" t="s">
        <v>149</v>
      </c>
      <c r="C12" s="25" t="s">
        <v>17</v>
      </c>
      <c r="D12" s="15">
        <v>155.925</v>
      </c>
      <c r="E12" s="109">
        <v>151.725</v>
      </c>
      <c r="F12" s="109">
        <v>184.38</v>
      </c>
      <c r="G12" s="133">
        <f t="shared" si="0"/>
        <v>164.01</v>
      </c>
      <c r="H12" s="118"/>
      <c r="I12" s="117"/>
      <c r="J12" s="187"/>
      <c r="K12" s="122"/>
      <c r="M12" s="3"/>
    </row>
    <row r="13" spans="1:14" ht="25.5">
      <c r="A13" s="127">
        <v>9</v>
      </c>
      <c r="B13" s="106" t="s">
        <v>150</v>
      </c>
      <c r="C13" s="25" t="s">
        <v>17</v>
      </c>
      <c r="D13" s="15">
        <v>87.675</v>
      </c>
      <c r="E13" s="109">
        <v>96.81</v>
      </c>
      <c r="F13" s="109">
        <v>100.275</v>
      </c>
      <c r="G13" s="133">
        <f t="shared" si="0"/>
        <v>94.92</v>
      </c>
      <c r="H13" s="24"/>
      <c r="I13" s="117"/>
      <c r="J13" s="187"/>
      <c r="K13" s="122"/>
      <c r="L13" s="2"/>
      <c r="N13" s="2"/>
    </row>
    <row r="14" spans="1:12" ht="25.5">
      <c r="A14" s="14">
        <v>10</v>
      </c>
      <c r="B14" s="106" t="s">
        <v>154</v>
      </c>
      <c r="C14" s="25" t="s">
        <v>17</v>
      </c>
      <c r="D14" s="15">
        <v>161.70000000000002</v>
      </c>
      <c r="E14" s="109">
        <v>155.4</v>
      </c>
      <c r="F14" s="109">
        <v>163.275</v>
      </c>
      <c r="G14" s="133">
        <f t="shared" si="0"/>
        <v>160.125</v>
      </c>
      <c r="H14" s="123"/>
      <c r="I14" s="117"/>
      <c r="J14" s="187"/>
      <c r="K14" s="122"/>
      <c r="L14" s="2"/>
    </row>
    <row r="15" spans="1:12" ht="25.5">
      <c r="A15" s="127">
        <v>11</v>
      </c>
      <c r="B15" s="106" t="s">
        <v>151</v>
      </c>
      <c r="C15" s="25" t="s">
        <v>17</v>
      </c>
      <c r="D15" s="15">
        <v>161.70000000000002</v>
      </c>
      <c r="E15" s="109">
        <v>155.4</v>
      </c>
      <c r="F15" s="109">
        <v>163.275</v>
      </c>
      <c r="G15" s="133">
        <f t="shared" si="0"/>
        <v>160.125</v>
      </c>
      <c r="H15" s="24"/>
      <c r="I15" s="117"/>
      <c r="J15" s="187"/>
      <c r="K15" s="122"/>
      <c r="L15" s="2"/>
    </row>
    <row r="16" spans="1:11" ht="25.5">
      <c r="A16" s="14">
        <v>12</v>
      </c>
      <c r="B16" s="106" t="s">
        <v>159</v>
      </c>
      <c r="C16" s="25" t="s">
        <v>17</v>
      </c>
      <c r="D16" s="15">
        <v>161.70000000000002</v>
      </c>
      <c r="E16" s="109">
        <v>155.4</v>
      </c>
      <c r="F16" s="109">
        <v>163.275</v>
      </c>
      <c r="G16" s="133">
        <f t="shared" si="0"/>
        <v>160.125</v>
      </c>
      <c r="H16" s="32"/>
      <c r="I16" s="117"/>
      <c r="J16" s="187"/>
      <c r="K16" s="122"/>
    </row>
    <row r="17" spans="1:11" ht="38.25">
      <c r="A17" s="127">
        <v>13</v>
      </c>
      <c r="B17" s="106" t="s">
        <v>160</v>
      </c>
      <c r="C17" s="25" t="s">
        <v>17</v>
      </c>
      <c r="D17" s="15">
        <v>504</v>
      </c>
      <c r="E17" s="109">
        <v>572.25</v>
      </c>
      <c r="F17" s="109">
        <v>612.15</v>
      </c>
      <c r="G17" s="133">
        <f t="shared" si="0"/>
        <v>562.8000000000001</v>
      </c>
      <c r="H17" s="32"/>
      <c r="I17" s="117"/>
      <c r="J17" s="187"/>
      <c r="K17" s="122"/>
    </row>
    <row r="18" spans="1:11" ht="15">
      <c r="A18" s="14">
        <v>14</v>
      </c>
      <c r="B18" s="106" t="s">
        <v>161</v>
      </c>
      <c r="C18" s="25" t="s">
        <v>17</v>
      </c>
      <c r="D18" s="15">
        <v>71.4</v>
      </c>
      <c r="E18" s="109">
        <v>78.75</v>
      </c>
      <c r="F18" s="109">
        <v>86.10000000000001</v>
      </c>
      <c r="G18" s="133">
        <f t="shared" si="0"/>
        <v>78.75</v>
      </c>
      <c r="H18" s="32"/>
      <c r="I18" s="117"/>
      <c r="J18" s="187"/>
      <c r="K18" s="122"/>
    </row>
    <row r="19" spans="1:11" ht="25.5">
      <c r="A19" s="127">
        <v>15</v>
      </c>
      <c r="B19" s="106" t="s">
        <v>162</v>
      </c>
      <c r="C19" s="25" t="s">
        <v>17</v>
      </c>
      <c r="D19" s="15">
        <v>89.25</v>
      </c>
      <c r="E19" s="109">
        <v>96.60000000000001</v>
      </c>
      <c r="F19" s="109">
        <v>107.10000000000001</v>
      </c>
      <c r="G19" s="133">
        <f t="shared" si="0"/>
        <v>97.65000000000002</v>
      </c>
      <c r="H19" s="126"/>
      <c r="I19" s="117"/>
      <c r="J19" s="187"/>
      <c r="K19" s="122"/>
    </row>
    <row r="20" spans="1:11" ht="25.5">
      <c r="A20" s="14">
        <v>16</v>
      </c>
      <c r="B20" s="106" t="s">
        <v>163</v>
      </c>
      <c r="C20" s="25" t="s">
        <v>17</v>
      </c>
      <c r="D20" s="15">
        <v>136.5</v>
      </c>
      <c r="E20" s="109">
        <v>141.75</v>
      </c>
      <c r="F20" s="109">
        <v>147</v>
      </c>
      <c r="G20" s="133">
        <f t="shared" si="0"/>
        <v>141.75</v>
      </c>
      <c r="I20" s="117"/>
      <c r="J20" s="187"/>
      <c r="K20" s="122"/>
    </row>
    <row r="21" spans="1:11" ht="15">
      <c r="A21" s="127">
        <v>17</v>
      </c>
      <c r="B21" s="106" t="s">
        <v>164</v>
      </c>
      <c r="C21" s="25" t="s">
        <v>17</v>
      </c>
      <c r="D21" s="15">
        <v>2205</v>
      </c>
      <c r="E21" s="109">
        <v>2362.5</v>
      </c>
      <c r="F21" s="109">
        <v>2520</v>
      </c>
      <c r="G21" s="133">
        <f t="shared" si="0"/>
        <v>2362.5</v>
      </c>
      <c r="I21" s="117"/>
      <c r="J21" s="187"/>
      <c r="K21" s="122"/>
    </row>
    <row r="22" spans="1:11" ht="26.25" thickBot="1">
      <c r="A22" s="128">
        <v>18</v>
      </c>
      <c r="B22" s="129" t="s">
        <v>165</v>
      </c>
      <c r="C22" s="130" t="s">
        <v>17</v>
      </c>
      <c r="D22" s="131">
        <v>719.25</v>
      </c>
      <c r="E22" s="134">
        <v>787.5</v>
      </c>
      <c r="F22" s="134">
        <v>808.5</v>
      </c>
      <c r="G22" s="135">
        <f t="shared" si="0"/>
        <v>771.75</v>
      </c>
      <c r="I22" s="117"/>
      <c r="J22" s="187"/>
      <c r="K22" s="122"/>
    </row>
    <row r="23" spans="1:7" ht="15">
      <c r="A23" s="23" t="s">
        <v>228</v>
      </c>
      <c r="B23" s="23"/>
      <c r="C23" s="21"/>
      <c r="D23" s="21"/>
      <c r="E23" s="30"/>
      <c r="F23" s="31"/>
      <c r="G23" s="31"/>
    </row>
    <row r="24" spans="1:7" ht="15">
      <c r="A24" s="7" t="s">
        <v>230</v>
      </c>
      <c r="B24" s="7"/>
      <c r="C24" s="43"/>
      <c r="D24" s="21"/>
      <c r="E24" s="30"/>
      <c r="F24" s="31"/>
      <c r="G24" s="31"/>
    </row>
    <row r="25" spans="1:7" ht="15">
      <c r="A25" s="9"/>
      <c r="B25" s="10"/>
      <c r="C25" s="10"/>
      <c r="D25" s="35"/>
      <c r="E25" s="34"/>
      <c r="F25" s="35"/>
      <c r="G25" s="32"/>
    </row>
    <row r="26" spans="1:7" ht="15">
      <c r="A26" s="7"/>
      <c r="B26" s="27"/>
      <c r="C26" s="27"/>
      <c r="D26" s="57" t="s">
        <v>71</v>
      </c>
      <c r="E26" s="115"/>
      <c r="F26" s="57" t="s">
        <v>254</v>
      </c>
      <c r="G26" s="32"/>
    </row>
    <row r="27" spans="1:7" ht="15">
      <c r="A27" s="7"/>
      <c r="B27" s="27"/>
      <c r="C27" s="27"/>
      <c r="D27" s="57" t="s">
        <v>41</v>
      </c>
      <c r="E27" s="115"/>
      <c r="F27" s="57" t="s">
        <v>46</v>
      </c>
      <c r="G27" s="32"/>
    </row>
    <row r="28" spans="1:7" ht="15">
      <c r="A28" s="7"/>
      <c r="B28" s="27"/>
      <c r="C28" s="27"/>
      <c r="D28" s="57" t="s">
        <v>72</v>
      </c>
      <c r="E28" s="115"/>
      <c r="F28" s="57" t="s">
        <v>74</v>
      </c>
      <c r="G28" s="53"/>
    </row>
  </sheetData>
  <sheetProtection/>
  <mergeCells count="6">
    <mergeCell ref="A1:G1"/>
    <mergeCell ref="A2:A4"/>
    <mergeCell ref="B2:B4"/>
    <mergeCell ref="C2:C4"/>
    <mergeCell ref="D2:F2"/>
    <mergeCell ref="G2:G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1"/>
  <colBreaks count="1" manualBreakCount="1">
    <brk id="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9.140625" style="0" customWidth="1"/>
    <col min="2" max="2" width="23.421875" style="0" customWidth="1"/>
    <col min="3" max="3" width="15.28125" style="0" bestFit="1" customWidth="1"/>
    <col min="4" max="4" width="13.57421875" style="0" bestFit="1" customWidth="1"/>
    <col min="5" max="5" width="7.57421875" style="0" bestFit="1" customWidth="1"/>
    <col min="6" max="6" width="14.8515625" style="0" bestFit="1" customWidth="1"/>
    <col min="7" max="7" width="8.421875" style="0" customWidth="1"/>
    <col min="8" max="8" width="14.8515625" style="0" bestFit="1" customWidth="1"/>
    <col min="9" max="9" width="8.57421875" style="0" bestFit="1" customWidth="1"/>
  </cols>
  <sheetData>
    <row r="1" spans="1:9" ht="12.75">
      <c r="A1" s="319" t="s">
        <v>63</v>
      </c>
      <c r="B1" s="320"/>
      <c r="C1" s="320"/>
      <c r="D1" s="320"/>
      <c r="E1" s="320"/>
      <c r="F1" s="320"/>
      <c r="G1" s="320"/>
      <c r="H1" s="320"/>
      <c r="I1" s="321"/>
    </row>
    <row r="2" spans="1:9" ht="12.75">
      <c r="A2" s="322" t="s">
        <v>255</v>
      </c>
      <c r="B2" s="323"/>
      <c r="C2" s="323"/>
      <c r="D2" s="323"/>
      <c r="E2" s="323"/>
      <c r="F2" s="323"/>
      <c r="G2" s="323"/>
      <c r="H2" s="323"/>
      <c r="I2" s="324"/>
    </row>
    <row r="3" spans="1:9" ht="12.75">
      <c r="A3" s="322" t="s">
        <v>249</v>
      </c>
      <c r="B3" s="323"/>
      <c r="C3" s="323"/>
      <c r="D3" s="323"/>
      <c r="E3" s="323"/>
      <c r="F3" s="323"/>
      <c r="G3" s="323"/>
      <c r="H3" s="323"/>
      <c r="I3" s="324"/>
    </row>
    <row r="4" spans="1:9" ht="12.75">
      <c r="A4" s="322" t="s">
        <v>64</v>
      </c>
      <c r="B4" s="323"/>
      <c r="C4" s="323"/>
      <c r="D4" s="323"/>
      <c r="E4" s="323"/>
      <c r="F4" s="323"/>
      <c r="G4" s="323"/>
      <c r="H4" s="323"/>
      <c r="I4" s="324"/>
    </row>
    <row r="5" spans="1:9" ht="12.75">
      <c r="A5" s="325" t="s">
        <v>256</v>
      </c>
      <c r="B5" s="326"/>
      <c r="C5" s="326"/>
      <c r="D5" s="326"/>
      <c r="E5" s="326"/>
      <c r="F5" s="326"/>
      <c r="G5" s="326"/>
      <c r="H5" s="326"/>
      <c r="I5" s="327"/>
    </row>
    <row r="6" spans="1:9" ht="12.75">
      <c r="A6" s="328" t="s">
        <v>258</v>
      </c>
      <c r="B6" s="329"/>
      <c r="C6" s="329"/>
      <c r="D6" s="329"/>
      <c r="E6" s="329"/>
      <c r="F6" s="329"/>
      <c r="G6" s="329"/>
      <c r="H6" s="329"/>
      <c r="I6" s="330"/>
    </row>
    <row r="7" spans="1:9" ht="12.75">
      <c r="A7" s="47" t="s">
        <v>0</v>
      </c>
      <c r="B7" s="47" t="s">
        <v>29</v>
      </c>
      <c r="C7" s="47" t="s">
        <v>50</v>
      </c>
      <c r="D7" s="63" t="s">
        <v>251</v>
      </c>
      <c r="E7" s="64" t="s">
        <v>47</v>
      </c>
      <c r="F7" s="63" t="s">
        <v>252</v>
      </c>
      <c r="G7" s="64" t="s">
        <v>47</v>
      </c>
      <c r="H7" s="63" t="s">
        <v>4</v>
      </c>
      <c r="I7" s="64" t="s">
        <v>47</v>
      </c>
    </row>
    <row r="8" spans="1:9" ht="12.75">
      <c r="A8" s="189">
        <v>3</v>
      </c>
      <c r="B8" s="136" t="str">
        <f>Orçamento!B68</f>
        <v>MURO DE CONTENÇÃO</v>
      </c>
      <c r="C8" s="62">
        <f>Orçamento!I81</f>
        <v>67351.16305943999</v>
      </c>
      <c r="D8" s="59">
        <f>C8*E8</f>
        <v>26940.465223776</v>
      </c>
      <c r="E8" s="60">
        <v>0.4</v>
      </c>
      <c r="F8" s="59">
        <f>C8*G8</f>
        <v>40410.697835663996</v>
      </c>
      <c r="G8" s="60">
        <v>0.6</v>
      </c>
      <c r="H8" s="61">
        <f>D8+F8</f>
        <v>67351.16305943999</v>
      </c>
      <c r="I8" s="60">
        <f>E8+G8</f>
        <v>1</v>
      </c>
    </row>
    <row r="9" spans="1:9" ht="25.5">
      <c r="A9" s="189">
        <v>4</v>
      </c>
      <c r="B9" s="206" t="str">
        <f>Orçamento!B82</f>
        <v>PASSEIOS PÚBLICOS E ACESSIBILIDADE</v>
      </c>
      <c r="C9" s="62">
        <f>Orçamento!I87</f>
        <v>123963.24041712002</v>
      </c>
      <c r="D9" s="59">
        <f>C9*E9</f>
        <v>37188.972125136</v>
      </c>
      <c r="E9" s="60">
        <v>0.3</v>
      </c>
      <c r="F9" s="59">
        <f>C9*G9</f>
        <v>86774.268291984</v>
      </c>
      <c r="G9" s="60">
        <v>0.7</v>
      </c>
      <c r="H9" s="61">
        <f>D9+F9</f>
        <v>123963.24041712</v>
      </c>
      <c r="I9" s="60">
        <f>E9+G9</f>
        <v>1</v>
      </c>
    </row>
    <row r="10" spans="1:9" ht="12.75">
      <c r="A10" s="316" t="s">
        <v>4</v>
      </c>
      <c r="B10" s="318"/>
      <c r="C10" s="62">
        <f>SUM(C8:C9)</f>
        <v>191314.40347656002</v>
      </c>
      <c r="D10" s="59"/>
      <c r="E10" s="60"/>
      <c r="F10" s="61"/>
      <c r="G10" s="60"/>
      <c r="H10" s="61"/>
      <c r="I10" s="60"/>
    </row>
    <row r="11" spans="1:9" ht="12.75">
      <c r="A11" s="316" t="s">
        <v>48</v>
      </c>
      <c r="B11" s="317"/>
      <c r="C11" s="318"/>
      <c r="D11" s="65">
        <f>SUM(D8:D9)</f>
        <v>64129.437348912004</v>
      </c>
      <c r="E11" s="66">
        <f>D11/C10</f>
        <v>0.3352044393080377</v>
      </c>
      <c r="F11" s="65">
        <f>SUM(F8:F9)</f>
        <v>127184.96612764799</v>
      </c>
      <c r="G11" s="66">
        <f>F11/C10</f>
        <v>0.6647955606919621</v>
      </c>
      <c r="H11" s="314">
        <f>SUM(H8:H9)</f>
        <v>191314.40347656</v>
      </c>
      <c r="I11" s="315">
        <f>E11+G11</f>
        <v>0.9999999999999998</v>
      </c>
    </row>
    <row r="12" spans="1:9" ht="12.75">
      <c r="A12" s="316" t="s">
        <v>49</v>
      </c>
      <c r="B12" s="317"/>
      <c r="C12" s="318"/>
      <c r="D12" s="65">
        <f>SUM(D8:D9)</f>
        <v>64129.437348912004</v>
      </c>
      <c r="E12" s="66">
        <f>E11</f>
        <v>0.3352044393080377</v>
      </c>
      <c r="F12" s="65">
        <f>SUM(D12+F11)</f>
        <v>191314.40347656</v>
      </c>
      <c r="G12" s="66">
        <f>E12+G11</f>
        <v>0.9999999999999998</v>
      </c>
      <c r="H12" s="314"/>
      <c r="I12" s="315"/>
    </row>
    <row r="14" spans="1:5" ht="12.75">
      <c r="A14" s="7" t="s">
        <v>230</v>
      </c>
      <c r="B14" s="7"/>
      <c r="C14" s="43"/>
      <c r="D14" s="31"/>
      <c r="E14" s="31"/>
    </row>
    <row r="15" spans="1:5" ht="12.75">
      <c r="A15" s="9"/>
      <c r="B15" s="10"/>
      <c r="C15" s="120"/>
      <c r="D15" s="32"/>
      <c r="E15" s="33"/>
    </row>
    <row r="16" spans="1:5" ht="12.75">
      <c r="A16" s="9"/>
      <c r="B16" s="10" t="s">
        <v>259</v>
      </c>
      <c r="C16" s="10"/>
      <c r="D16" s="54"/>
      <c r="E16" s="56"/>
    </row>
    <row r="17" spans="1:5" ht="12.75">
      <c r="A17" s="7"/>
      <c r="B17" s="209" t="s">
        <v>71</v>
      </c>
      <c r="C17" s="32"/>
      <c r="D17" s="293" t="s">
        <v>254</v>
      </c>
      <c r="E17" s="293"/>
    </row>
    <row r="18" spans="1:5" ht="12.75">
      <c r="A18" s="7"/>
      <c r="B18" s="209" t="s">
        <v>41</v>
      </c>
      <c r="C18" s="32"/>
      <c r="D18" s="293" t="s">
        <v>46</v>
      </c>
      <c r="E18" s="293"/>
    </row>
    <row r="19" spans="1:5" ht="12.75">
      <c r="A19" s="7"/>
      <c r="B19" s="57" t="s">
        <v>72</v>
      </c>
      <c r="C19" s="115"/>
      <c r="D19" s="281" t="s">
        <v>74</v>
      </c>
      <c r="E19" s="281"/>
    </row>
    <row r="20" spans="1:9" ht="15">
      <c r="A20" s="1"/>
      <c r="B20" s="166"/>
      <c r="C20" s="166"/>
      <c r="D20" s="1"/>
      <c r="E20" s="1"/>
      <c r="F20" s="1"/>
      <c r="G20" s="1"/>
      <c r="H20" s="1"/>
      <c r="I20" s="1"/>
    </row>
  </sheetData>
  <sheetProtection/>
  <mergeCells count="14">
    <mergeCell ref="A1:I1"/>
    <mergeCell ref="A2:I2"/>
    <mergeCell ref="A3:I3"/>
    <mergeCell ref="A4:I4"/>
    <mergeCell ref="A5:I5"/>
    <mergeCell ref="A6:I6"/>
    <mergeCell ref="D18:E18"/>
    <mergeCell ref="D19:E19"/>
    <mergeCell ref="A10:B10"/>
    <mergeCell ref="A11:C11"/>
    <mergeCell ref="H11:H12"/>
    <mergeCell ref="I11:I12"/>
    <mergeCell ref="A12:C12"/>
    <mergeCell ref="D17:E1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46"/>
  <sheetViews>
    <sheetView showGridLines="0" view="pageBreakPreview" zoomScale="90" zoomScaleSheetLayoutView="90" zoomScalePageLayoutView="0" workbookViewId="0" topLeftCell="A1">
      <selection activeCell="F45" sqref="F45"/>
    </sheetView>
  </sheetViews>
  <sheetFormatPr defaultColWidth="9.140625" defaultRowHeight="12.75"/>
  <cols>
    <col min="1" max="2" width="9.140625" style="1" customWidth="1"/>
    <col min="3" max="3" width="31.28125" style="1" customWidth="1"/>
    <col min="4" max="4" width="9.28125" style="1" bestFit="1" customWidth="1"/>
    <col min="5" max="5" width="9.140625" style="1" customWidth="1"/>
    <col min="6" max="6" width="12.7109375" style="1" bestFit="1" customWidth="1"/>
    <col min="7" max="7" width="14.57421875" style="1" customWidth="1"/>
    <col min="8" max="8" width="12.140625" style="1" customWidth="1"/>
    <col min="9" max="9" width="13.8515625" style="1" customWidth="1"/>
    <col min="10" max="10" width="17.57421875" style="1" bestFit="1" customWidth="1"/>
    <col min="11" max="11" width="11.7109375" style="1" bestFit="1" customWidth="1"/>
    <col min="12" max="12" width="13.8515625" style="1" bestFit="1" customWidth="1"/>
    <col min="13" max="13" width="14.7109375" style="1" bestFit="1" customWidth="1"/>
    <col min="14" max="14" width="15.421875" style="1" bestFit="1" customWidth="1"/>
    <col min="15" max="15" width="13.8515625" style="1" bestFit="1" customWidth="1"/>
    <col min="16" max="16384" width="9.140625" style="1" customWidth="1"/>
  </cols>
  <sheetData>
    <row r="1" ht="15.75" thickBot="1"/>
    <row r="2" spans="2:12" ht="15">
      <c r="B2" s="331" t="s">
        <v>167</v>
      </c>
      <c r="C2" s="332"/>
      <c r="D2" s="332"/>
      <c r="E2" s="333"/>
      <c r="F2" s="68"/>
      <c r="G2" s="68"/>
      <c r="H2" s="68"/>
      <c r="I2" s="68"/>
      <c r="J2" s="68"/>
      <c r="K2" s="68"/>
      <c r="L2" s="68"/>
    </row>
    <row r="3" spans="2:12" ht="15">
      <c r="B3" s="334" t="s">
        <v>168</v>
      </c>
      <c r="C3" s="335" t="s">
        <v>169</v>
      </c>
      <c r="D3" s="138" t="s">
        <v>47</v>
      </c>
      <c r="E3" s="139" t="s">
        <v>47</v>
      </c>
      <c r="F3" s="68"/>
      <c r="G3" s="68"/>
      <c r="H3" s="68"/>
      <c r="I3" s="68"/>
      <c r="J3" s="68"/>
      <c r="K3" s="125"/>
      <c r="L3" s="125"/>
    </row>
    <row r="4" spans="2:12" ht="14.25" customHeight="1">
      <c r="B4" s="334"/>
      <c r="C4" s="335"/>
      <c r="D4" s="137" t="s">
        <v>170</v>
      </c>
      <c r="E4" s="140" t="s">
        <v>171</v>
      </c>
      <c r="F4" s="68"/>
      <c r="G4" s="68"/>
      <c r="H4" s="68"/>
      <c r="I4" s="68"/>
      <c r="J4" s="68"/>
      <c r="K4" s="125"/>
      <c r="L4" s="125"/>
    </row>
    <row r="5" spans="2:12" ht="14.25" customHeight="1">
      <c r="B5" s="141">
        <v>1</v>
      </c>
      <c r="C5" s="142" t="s">
        <v>172</v>
      </c>
      <c r="D5" s="143" t="s">
        <v>173</v>
      </c>
      <c r="E5" s="144">
        <v>4.4</v>
      </c>
      <c r="F5" s="116"/>
      <c r="G5" s="116"/>
      <c r="H5" s="116"/>
      <c r="I5" s="116"/>
      <c r="J5" s="68"/>
      <c r="K5" s="125"/>
      <c r="L5" s="125"/>
    </row>
    <row r="6" spans="2:14" ht="15">
      <c r="B6" s="145" t="s">
        <v>5</v>
      </c>
      <c r="C6" s="146" t="s">
        <v>174</v>
      </c>
      <c r="D6" s="147" t="s">
        <v>173</v>
      </c>
      <c r="E6" s="148" t="s">
        <v>173</v>
      </c>
      <c r="F6" s="117"/>
      <c r="G6" s="117"/>
      <c r="H6" s="117"/>
      <c r="I6" s="117"/>
      <c r="J6" s="117"/>
      <c r="K6" s="121"/>
      <c r="L6" s="122"/>
      <c r="N6" s="4"/>
    </row>
    <row r="7" spans="2:14" ht="15">
      <c r="B7" s="145" t="s">
        <v>13</v>
      </c>
      <c r="C7" s="146" t="s">
        <v>175</v>
      </c>
      <c r="D7" s="147" t="s">
        <v>173</v>
      </c>
      <c r="E7" s="148" t="s">
        <v>173</v>
      </c>
      <c r="F7" s="117"/>
      <c r="G7" s="117"/>
      <c r="H7" s="117"/>
      <c r="I7" s="117"/>
      <c r="J7" s="117"/>
      <c r="K7" s="121"/>
      <c r="L7" s="122"/>
      <c r="N7" s="4"/>
    </row>
    <row r="8" spans="2:14" ht="15">
      <c r="B8" s="145" t="s">
        <v>15</v>
      </c>
      <c r="C8" s="146" t="s">
        <v>176</v>
      </c>
      <c r="D8" s="147" t="s">
        <v>173</v>
      </c>
      <c r="E8" s="148" t="s">
        <v>173</v>
      </c>
      <c r="F8" s="117"/>
      <c r="G8" s="117"/>
      <c r="H8" s="117"/>
      <c r="I8" s="117"/>
      <c r="J8" s="117"/>
      <c r="K8" s="121"/>
      <c r="L8" s="122"/>
      <c r="N8" s="5"/>
    </row>
    <row r="9" spans="2:14" ht="15">
      <c r="B9" s="141">
        <v>2</v>
      </c>
      <c r="C9" s="142" t="s">
        <v>177</v>
      </c>
      <c r="D9" s="149">
        <f>SUM(D10:D12)</f>
        <v>7.65</v>
      </c>
      <c r="E9" s="150">
        <f>ROUND(SUM(E10:E12),2)</f>
        <v>7.65</v>
      </c>
      <c r="F9" s="117"/>
      <c r="G9" s="117"/>
      <c r="H9" s="117"/>
      <c r="I9" s="117"/>
      <c r="J9" s="117"/>
      <c r="K9" s="121"/>
      <c r="L9" s="122"/>
      <c r="N9" s="6"/>
    </row>
    <row r="10" spans="2:14" ht="15">
      <c r="B10" s="145" t="s">
        <v>6</v>
      </c>
      <c r="C10" s="151" t="s">
        <v>178</v>
      </c>
      <c r="D10" s="147">
        <v>4</v>
      </c>
      <c r="E10" s="148">
        <f>ROUND(D10*(1+($C$21/100)),2)</f>
        <v>4</v>
      </c>
      <c r="F10" s="117"/>
      <c r="G10" s="117"/>
      <c r="H10" s="117"/>
      <c r="I10" s="117"/>
      <c r="J10" s="117"/>
      <c r="K10" s="121"/>
      <c r="L10" s="122"/>
      <c r="N10" s="6"/>
    </row>
    <row r="11" spans="2:14" ht="15">
      <c r="B11" s="145" t="s">
        <v>11</v>
      </c>
      <c r="C11" s="146" t="s">
        <v>179</v>
      </c>
      <c r="D11" s="147">
        <v>0.65</v>
      </c>
      <c r="E11" s="148">
        <f>ROUND(D11*(1+($C$21/100)),2)</f>
        <v>0.65</v>
      </c>
      <c r="F11" s="117"/>
      <c r="G11" s="117"/>
      <c r="H11" s="117"/>
      <c r="I11" s="117"/>
      <c r="J11" s="117"/>
      <c r="K11" s="121"/>
      <c r="L11" s="122"/>
      <c r="N11" s="6"/>
    </row>
    <row r="12" spans="2:14" ht="15">
      <c r="B12" s="145" t="s">
        <v>21</v>
      </c>
      <c r="C12" s="146" t="s">
        <v>180</v>
      </c>
      <c r="D12" s="152">
        <v>3</v>
      </c>
      <c r="E12" s="148">
        <f>ROUND(D12*(1+($C$21/100)),2)</f>
        <v>3</v>
      </c>
      <c r="F12" s="117"/>
      <c r="G12" s="117"/>
      <c r="H12" s="117"/>
      <c r="I12" s="117"/>
      <c r="J12" s="117"/>
      <c r="K12" s="121"/>
      <c r="L12" s="122"/>
      <c r="N12" s="6"/>
    </row>
    <row r="13" spans="2:14" ht="15">
      <c r="B13" s="141">
        <v>3</v>
      </c>
      <c r="C13" s="142" t="s">
        <v>181</v>
      </c>
      <c r="D13" s="153" t="s">
        <v>173</v>
      </c>
      <c r="E13" s="150">
        <f>SUM(E14:E16)</f>
        <v>2.4</v>
      </c>
      <c r="F13" s="117"/>
      <c r="G13" s="118"/>
      <c r="H13" s="117"/>
      <c r="I13" s="118"/>
      <c r="J13" s="119"/>
      <c r="K13" s="121"/>
      <c r="L13" s="122"/>
      <c r="N13" s="3"/>
    </row>
    <row r="14" spans="2:15" ht="15">
      <c r="B14" s="145" t="s">
        <v>12</v>
      </c>
      <c r="C14" s="146" t="s">
        <v>182</v>
      </c>
      <c r="D14" s="147"/>
      <c r="E14" s="148">
        <v>0.5</v>
      </c>
      <c r="F14" s="24"/>
      <c r="G14" s="24"/>
      <c r="H14" s="24"/>
      <c r="I14" s="24"/>
      <c r="J14" s="123"/>
      <c r="K14" s="123"/>
      <c r="L14" s="123"/>
      <c r="M14" s="2"/>
      <c r="O14" s="2"/>
    </row>
    <row r="15" spans="2:13" ht="15">
      <c r="B15" s="145" t="s">
        <v>16</v>
      </c>
      <c r="C15" s="146" t="s">
        <v>183</v>
      </c>
      <c r="D15" s="147"/>
      <c r="E15" s="148">
        <v>1.4</v>
      </c>
      <c r="F15" s="24"/>
      <c r="G15" s="123"/>
      <c r="H15" s="24"/>
      <c r="I15" s="123"/>
      <c r="J15" s="123"/>
      <c r="K15" s="123"/>
      <c r="L15" s="123"/>
      <c r="M15" s="2"/>
    </row>
    <row r="16" spans="2:13" ht="15">
      <c r="B16" s="145" t="s">
        <v>16</v>
      </c>
      <c r="C16" s="146" t="s">
        <v>184</v>
      </c>
      <c r="D16" s="147"/>
      <c r="E16" s="148">
        <v>0.5</v>
      </c>
      <c r="F16" s="24"/>
      <c r="G16" s="24"/>
      <c r="H16" s="24"/>
      <c r="I16" s="24"/>
      <c r="J16" s="124"/>
      <c r="K16" s="124"/>
      <c r="L16" s="123"/>
      <c r="M16" s="2"/>
    </row>
    <row r="17" spans="2:12" ht="15">
      <c r="B17" s="141">
        <v>4</v>
      </c>
      <c r="C17" s="142" t="s">
        <v>185</v>
      </c>
      <c r="D17" s="153" t="s">
        <v>173</v>
      </c>
      <c r="E17" s="150">
        <v>1.17</v>
      </c>
      <c r="F17" s="24"/>
      <c r="G17" s="24"/>
      <c r="H17" s="24"/>
      <c r="I17" s="32"/>
      <c r="J17" s="31"/>
      <c r="K17" s="123"/>
      <c r="L17" s="123"/>
    </row>
    <row r="18" spans="2:12" ht="15">
      <c r="B18" s="141">
        <v>5</v>
      </c>
      <c r="C18" s="142" t="s">
        <v>186</v>
      </c>
      <c r="D18" s="149"/>
      <c r="E18" s="150">
        <v>8</v>
      </c>
      <c r="F18" s="126"/>
      <c r="G18" s="126"/>
      <c r="H18" s="24"/>
      <c r="I18" s="32"/>
      <c r="J18" s="32"/>
      <c r="K18" s="24"/>
      <c r="L18" s="24"/>
    </row>
    <row r="19" spans="2:12" ht="15.75" thickBot="1">
      <c r="B19" s="154" t="s">
        <v>173</v>
      </c>
      <c r="C19" s="155" t="s">
        <v>187</v>
      </c>
      <c r="D19" s="156" t="s">
        <v>173</v>
      </c>
      <c r="E19" s="157">
        <f>ROUND((((1+(E5%+E14%+E15%+E16%))*(1+E17%)*(1+E18%)/(1-E9%))-(1))*100,2)</f>
        <v>26.36</v>
      </c>
      <c r="F19" s="126"/>
      <c r="G19" s="126"/>
      <c r="H19" s="24"/>
      <c r="I19" s="32"/>
      <c r="J19" s="32"/>
      <c r="K19" s="24"/>
      <c r="L19" s="24"/>
    </row>
    <row r="20" spans="2:12" ht="15.75" thickBot="1">
      <c r="B20" s="158"/>
      <c r="C20" s="158"/>
      <c r="D20" s="158"/>
      <c r="E20" s="158"/>
      <c r="F20" s="126"/>
      <c r="G20" s="126"/>
      <c r="H20" s="24"/>
      <c r="I20" s="126"/>
      <c r="J20" s="126"/>
      <c r="K20" s="24"/>
      <c r="L20" s="24"/>
    </row>
    <row r="21" spans="2:5" ht="15.75" thickBot="1">
      <c r="B21" s="337" t="s">
        <v>188</v>
      </c>
      <c r="C21" s="338"/>
      <c r="D21" s="159">
        <f>ROUND((((1+((E5+E13)/100))*(1+E17/100)*(1+E18/100))/(1-D9/100)-1)*100,2)</f>
        <v>26.36</v>
      </c>
      <c r="E21" s="160" t="s">
        <v>47</v>
      </c>
    </row>
    <row r="22" spans="2:5" ht="15">
      <c r="B22"/>
      <c r="C22"/>
      <c r="D22"/>
      <c r="E22" s="158"/>
    </row>
    <row r="23" spans="2:5" ht="15.75" thickBot="1">
      <c r="B23" s="161" t="s">
        <v>189</v>
      </c>
      <c r="C23" s="161"/>
      <c r="D23" s="161"/>
      <c r="E23" s="158"/>
    </row>
    <row r="24" spans="2:5" ht="15.75" thickBot="1">
      <c r="B24" s="339" t="s">
        <v>190</v>
      </c>
      <c r="C24" s="340"/>
      <c r="D24" s="340"/>
      <c r="E24" s="341"/>
    </row>
    <row r="25" spans="2:5" ht="15">
      <c r="B25" s="162"/>
      <c r="C25" s="163"/>
      <c r="D25" s="163"/>
      <c r="E25" s="164"/>
    </row>
    <row r="26" spans="2:5" ht="15">
      <c r="B26" s="165"/>
      <c r="C26" s="166"/>
      <c r="D26" s="166"/>
      <c r="E26" s="167"/>
    </row>
    <row r="27" spans="2:5" ht="15">
      <c r="B27" s="165"/>
      <c r="C27" s="166"/>
      <c r="D27" s="166"/>
      <c r="E27" s="167"/>
    </row>
    <row r="28" spans="2:5" ht="15">
      <c r="B28" s="165"/>
      <c r="C28" s="166"/>
      <c r="D28" s="166"/>
      <c r="E28" s="167"/>
    </row>
    <row r="29" spans="2:5" ht="15">
      <c r="B29" s="168" t="s">
        <v>191</v>
      </c>
      <c r="C29" s="166"/>
      <c r="D29" s="166"/>
      <c r="E29" s="167"/>
    </row>
    <row r="30" spans="2:5" ht="15">
      <c r="B30" s="168" t="s">
        <v>192</v>
      </c>
      <c r="C30" s="166"/>
      <c r="D30" s="166"/>
      <c r="E30" s="167"/>
    </row>
    <row r="31" spans="2:5" ht="15">
      <c r="B31" s="168" t="s">
        <v>193</v>
      </c>
      <c r="C31" s="166"/>
      <c r="D31" s="166"/>
      <c r="E31" s="167"/>
    </row>
    <row r="32" spans="2:5" ht="15">
      <c r="B32" s="168" t="s">
        <v>194</v>
      </c>
      <c r="C32" s="166"/>
      <c r="D32" s="166"/>
      <c r="E32" s="167"/>
    </row>
    <row r="33" spans="2:5" ht="15">
      <c r="B33" s="168" t="s">
        <v>195</v>
      </c>
      <c r="C33" s="166"/>
      <c r="D33" s="166"/>
      <c r="E33" s="167"/>
    </row>
    <row r="34" spans="2:5" ht="15">
      <c r="B34" s="168" t="s">
        <v>196</v>
      </c>
      <c r="C34" s="166"/>
      <c r="D34" s="166"/>
      <c r="E34" s="167"/>
    </row>
    <row r="35" spans="2:5" ht="15.75" thickBot="1">
      <c r="B35" s="169" t="s">
        <v>197</v>
      </c>
      <c r="C35" s="170"/>
      <c r="D35" s="170"/>
      <c r="E35" s="171"/>
    </row>
    <row r="36" spans="2:5" ht="15">
      <c r="B36"/>
      <c r="C36"/>
      <c r="D36"/>
      <c r="E36"/>
    </row>
    <row r="37" spans="2:5" ht="15">
      <c r="B37"/>
      <c r="C37"/>
      <c r="D37"/>
      <c r="E37"/>
    </row>
    <row r="38" spans="2:5" ht="15">
      <c r="B38"/>
      <c r="C38" s="336"/>
      <c r="D38" s="336"/>
      <c r="E38"/>
    </row>
    <row r="39" spans="2:5" ht="15">
      <c r="B39"/>
      <c r="C39" s="281" t="s">
        <v>71</v>
      </c>
      <c r="D39" s="281"/>
      <c r="E39" s="32"/>
    </row>
    <row r="40" spans="2:5" ht="15">
      <c r="B40"/>
      <c r="C40" s="281" t="s">
        <v>41</v>
      </c>
      <c r="D40" s="281"/>
      <c r="E40" s="32"/>
    </row>
    <row r="41" spans="2:5" ht="15">
      <c r="B41"/>
      <c r="C41" s="281" t="s">
        <v>72</v>
      </c>
      <c r="D41" s="281"/>
      <c r="E41" s="53"/>
    </row>
    <row r="42" spans="2:5" ht="15">
      <c r="B42"/>
      <c r="C42"/>
      <c r="D42"/>
      <c r="E42"/>
    </row>
    <row r="43" spans="2:5" ht="15">
      <c r="B43"/>
      <c r="C43" s="336"/>
      <c r="D43" s="336"/>
      <c r="E43"/>
    </row>
    <row r="44" spans="2:5" ht="15">
      <c r="B44"/>
      <c r="C44" s="291" t="s">
        <v>254</v>
      </c>
      <c r="D44" s="291"/>
      <c r="E44"/>
    </row>
    <row r="45" spans="2:5" ht="15">
      <c r="B45"/>
      <c r="C45" s="293" t="s">
        <v>46</v>
      </c>
      <c r="D45" s="293"/>
      <c r="E45"/>
    </row>
    <row r="46" spans="2:5" ht="15">
      <c r="B46"/>
      <c r="C46" s="281" t="s">
        <v>74</v>
      </c>
      <c r="D46" s="281"/>
      <c r="E46"/>
    </row>
  </sheetData>
  <sheetProtection/>
  <mergeCells count="13">
    <mergeCell ref="C46:D46"/>
    <mergeCell ref="B21:C21"/>
    <mergeCell ref="B24:E24"/>
    <mergeCell ref="C38:D38"/>
    <mergeCell ref="C39:D39"/>
    <mergeCell ref="C40:D40"/>
    <mergeCell ref="C41:D41"/>
    <mergeCell ref="B2:E2"/>
    <mergeCell ref="B3:B4"/>
    <mergeCell ref="C3:C4"/>
    <mergeCell ref="C43:D43"/>
    <mergeCell ref="C44:D44"/>
    <mergeCell ref="C45:D4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I25" sqref="I25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thickBot="1">
      <c r="A2" s="345" t="s">
        <v>76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91">
        <v>0.774</v>
      </c>
      <c r="D5" s="49" t="s">
        <v>8</v>
      </c>
      <c r="E5" s="37">
        <f aca="true" t="shared" si="0" ref="E5:E11">K5*0.7</f>
        <v>424.179</v>
      </c>
      <c r="F5" s="37">
        <f>C5*E5</f>
        <v>328.314546</v>
      </c>
      <c r="G5" s="37">
        <f aca="true" t="shared" si="1" ref="G5:G11">K5*0.3</f>
        <v>181.791</v>
      </c>
      <c r="H5" s="37">
        <f>C5*G5</f>
        <v>140.706234</v>
      </c>
      <c r="I5" s="45">
        <f>F5+H5</f>
        <v>469.02078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6">
        <v>0.357</v>
      </c>
      <c r="D6" s="15" t="s">
        <v>8</v>
      </c>
      <c r="E6" s="37">
        <f t="shared" si="0"/>
        <v>239.869</v>
      </c>
      <c r="F6" s="37">
        <f aca="true" t="shared" si="2" ref="F6:F11">C6*E6</f>
        <v>85.63323299999999</v>
      </c>
      <c r="G6" s="37">
        <f t="shared" si="1"/>
        <v>102.801</v>
      </c>
      <c r="H6" s="37">
        <f aca="true" t="shared" si="3" ref="H6:H11">C6*G6</f>
        <v>36.699957</v>
      </c>
      <c r="I6" s="45">
        <f aca="true" t="shared" si="4" ref="I6:I11">F6+H6</f>
        <v>122.33318999999999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</v>
      </c>
      <c r="D7" s="50" t="s">
        <v>14</v>
      </c>
      <c r="E7" s="37">
        <f t="shared" si="0"/>
        <v>19.578999999999997</v>
      </c>
      <c r="F7" s="37">
        <f t="shared" si="2"/>
        <v>58.736999999999995</v>
      </c>
      <c r="G7" s="37">
        <f t="shared" si="1"/>
        <v>8.391</v>
      </c>
      <c r="H7" s="37">
        <f t="shared" si="3"/>
        <v>25.173000000000002</v>
      </c>
      <c r="I7" s="45">
        <f t="shared" si="4"/>
        <v>83.91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4">
        <v>11.6</v>
      </c>
      <c r="D8" s="15" t="s">
        <v>30</v>
      </c>
      <c r="E8" s="37">
        <f t="shared" si="0"/>
        <v>4.221</v>
      </c>
      <c r="F8" s="37">
        <f t="shared" si="2"/>
        <v>48.9636</v>
      </c>
      <c r="G8" s="37">
        <f t="shared" si="1"/>
        <v>1.809</v>
      </c>
      <c r="H8" s="37">
        <f t="shared" si="3"/>
        <v>20.984399999999997</v>
      </c>
      <c r="I8" s="45">
        <f t="shared" si="4"/>
        <v>69.948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1.308</v>
      </c>
      <c r="D9" s="15" t="s">
        <v>30</v>
      </c>
      <c r="E9" s="37">
        <f t="shared" si="0"/>
        <v>4.781</v>
      </c>
      <c r="F9" s="37">
        <f t="shared" si="2"/>
        <v>6.253547999999999</v>
      </c>
      <c r="G9" s="37">
        <f t="shared" si="1"/>
        <v>2.049</v>
      </c>
      <c r="H9" s="37">
        <f t="shared" si="3"/>
        <v>2.680092</v>
      </c>
      <c r="I9" s="45">
        <f t="shared" si="4"/>
        <v>8.93364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69</v>
      </c>
      <c r="C10" s="44">
        <v>1</v>
      </c>
      <c r="D10" s="15" t="s">
        <v>17</v>
      </c>
      <c r="E10" s="37">
        <f t="shared" si="0"/>
        <v>27.293</v>
      </c>
      <c r="F10" s="37">
        <f t="shared" si="2"/>
        <v>27.293</v>
      </c>
      <c r="G10" s="37">
        <f t="shared" si="1"/>
        <v>11.697000000000001</v>
      </c>
      <c r="H10" s="37">
        <f t="shared" si="3"/>
        <v>11.697000000000001</v>
      </c>
      <c r="I10" s="45">
        <f t="shared" si="4"/>
        <v>38.99</v>
      </c>
      <c r="J10" s="18">
        <v>94274</v>
      </c>
      <c r="K10" s="16">
        <v>38.99</v>
      </c>
      <c r="M10" s="6"/>
    </row>
    <row r="11" spans="1:13" ht="26.25" thickBot="1">
      <c r="A11" s="51" t="s">
        <v>25</v>
      </c>
      <c r="B11" s="42" t="s">
        <v>70</v>
      </c>
      <c r="C11" s="92">
        <v>0.066</v>
      </c>
      <c r="D11" s="19" t="s">
        <v>8</v>
      </c>
      <c r="E11" s="37">
        <f t="shared" si="0"/>
        <v>325.577</v>
      </c>
      <c r="F11" s="52">
        <f t="shared" si="2"/>
        <v>21.488082000000002</v>
      </c>
      <c r="G11" s="37">
        <f t="shared" si="1"/>
        <v>139.533</v>
      </c>
      <c r="H11" s="52">
        <f t="shared" si="3"/>
        <v>9.209178</v>
      </c>
      <c r="I11" s="93">
        <f t="shared" si="4"/>
        <v>30.69726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576.683009</v>
      </c>
      <c r="G12" s="96"/>
      <c r="H12" s="97">
        <f>SUM(H5:H11)</f>
        <v>247.149861</v>
      </c>
      <c r="I12" s="98">
        <f>SUM(I5:I11)</f>
        <v>823.83287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230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D18:F18"/>
    <mergeCell ref="B18:C18"/>
    <mergeCell ref="A3:A4"/>
    <mergeCell ref="D17:F17"/>
    <mergeCell ref="H18:I18"/>
    <mergeCell ref="D3:D4"/>
    <mergeCell ref="E3:F3"/>
    <mergeCell ref="G3:H3"/>
    <mergeCell ref="I3:I4"/>
    <mergeCell ref="B17:C17"/>
    <mergeCell ref="C3:C4"/>
    <mergeCell ref="B19:C19"/>
    <mergeCell ref="D19:F19"/>
    <mergeCell ref="H17:I17"/>
    <mergeCell ref="H19:I19"/>
    <mergeCell ref="B3:B4"/>
    <mergeCell ref="A1:K1"/>
    <mergeCell ref="A2:F2"/>
    <mergeCell ref="G2:I2"/>
    <mergeCell ref="J2:J4"/>
    <mergeCell ref="K2:K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I37" sqref="I37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77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91">
        <v>1.118</v>
      </c>
      <c r="D5" s="49" t="s">
        <v>8</v>
      </c>
      <c r="E5" s="37">
        <f>K5*0.7</f>
        <v>424.179</v>
      </c>
      <c r="F5" s="37">
        <f>C5*E5</f>
        <v>474.232122</v>
      </c>
      <c r="G5" s="37">
        <f>K5*0.3</f>
        <v>181.791</v>
      </c>
      <c r="H5" s="37">
        <f>C5*G5</f>
        <v>203.24233800000002</v>
      </c>
      <c r="I5" s="45">
        <f>F5+H5</f>
        <v>677.47446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6">
        <v>0.357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85.63323299999999</v>
      </c>
      <c r="G6" s="37">
        <f aca="true" t="shared" si="2" ref="G6:G11">K6*0.3</f>
        <v>102.801</v>
      </c>
      <c r="H6" s="37">
        <f aca="true" t="shared" si="3" ref="H6:H11">C6*G6</f>
        <v>36.699957</v>
      </c>
      <c r="I6" s="45">
        <f aca="true" t="shared" si="4" ref="I6:I11">F6+H6</f>
        <v>122.33318999999999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</v>
      </c>
      <c r="D7" s="50" t="s">
        <v>14</v>
      </c>
      <c r="E7" s="37">
        <f t="shared" si="0"/>
        <v>19.578999999999997</v>
      </c>
      <c r="F7" s="37">
        <f t="shared" si="1"/>
        <v>58.736999999999995</v>
      </c>
      <c r="G7" s="37">
        <f t="shared" si="2"/>
        <v>8.391</v>
      </c>
      <c r="H7" s="37">
        <f t="shared" si="3"/>
        <v>25.173000000000002</v>
      </c>
      <c r="I7" s="45">
        <f t="shared" si="4"/>
        <v>83.91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4">
        <v>11.6</v>
      </c>
      <c r="D8" s="15" t="s">
        <v>30</v>
      </c>
      <c r="E8" s="37">
        <f t="shared" si="0"/>
        <v>4.221</v>
      </c>
      <c r="F8" s="37">
        <f t="shared" si="1"/>
        <v>48.9636</v>
      </c>
      <c r="G8" s="37">
        <f t="shared" si="2"/>
        <v>1.809</v>
      </c>
      <c r="H8" s="37">
        <f t="shared" si="3"/>
        <v>20.984399999999997</v>
      </c>
      <c r="I8" s="45">
        <f t="shared" si="4"/>
        <v>69.948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1.308</v>
      </c>
      <c r="D9" s="15" t="s">
        <v>30</v>
      </c>
      <c r="E9" s="37">
        <f t="shared" si="0"/>
        <v>4.781</v>
      </c>
      <c r="F9" s="37">
        <f t="shared" si="1"/>
        <v>6.253547999999999</v>
      </c>
      <c r="G9" s="37">
        <f t="shared" si="2"/>
        <v>2.049</v>
      </c>
      <c r="H9" s="37">
        <f t="shared" si="3"/>
        <v>2.680092</v>
      </c>
      <c r="I9" s="45">
        <f t="shared" si="4"/>
        <v>8.93364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69</v>
      </c>
      <c r="C10" s="44">
        <v>1</v>
      </c>
      <c r="D10" s="15" t="s">
        <v>17</v>
      </c>
      <c r="E10" s="37">
        <f t="shared" si="0"/>
        <v>27.293</v>
      </c>
      <c r="F10" s="37">
        <f t="shared" si="1"/>
        <v>27.293</v>
      </c>
      <c r="G10" s="37">
        <f t="shared" si="2"/>
        <v>11.697000000000001</v>
      </c>
      <c r="H10" s="37">
        <f t="shared" si="3"/>
        <v>11.697000000000001</v>
      </c>
      <c r="I10" s="45">
        <f t="shared" si="4"/>
        <v>38.99</v>
      </c>
      <c r="J10" s="18">
        <v>94274</v>
      </c>
      <c r="K10" s="16">
        <v>38.99</v>
      </c>
      <c r="M10" s="6"/>
    </row>
    <row r="11" spans="1:13" ht="26.25" thickBot="1">
      <c r="A11" s="51" t="s">
        <v>25</v>
      </c>
      <c r="B11" s="42" t="s">
        <v>70</v>
      </c>
      <c r="C11" s="92">
        <v>0.094</v>
      </c>
      <c r="D11" s="19" t="s">
        <v>8</v>
      </c>
      <c r="E11" s="37">
        <f t="shared" si="0"/>
        <v>325.577</v>
      </c>
      <c r="F11" s="52">
        <f t="shared" si="1"/>
        <v>30.604238</v>
      </c>
      <c r="G11" s="37">
        <f t="shared" si="2"/>
        <v>139.533</v>
      </c>
      <c r="H11" s="52">
        <f t="shared" si="3"/>
        <v>13.116101999999998</v>
      </c>
      <c r="I11" s="93">
        <f t="shared" si="4"/>
        <v>43.72033999999999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731.7167410000001</v>
      </c>
      <c r="G12" s="96"/>
      <c r="H12" s="97">
        <f>SUM(H5:H11)</f>
        <v>313.592889</v>
      </c>
      <c r="I12" s="98">
        <f>SUM(I5:I11)</f>
        <v>1045.30963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230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J25" sqref="J25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80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91">
        <v>2.064</v>
      </c>
      <c r="D5" s="49" t="s">
        <v>8</v>
      </c>
      <c r="E5" s="37">
        <f>K5*0.7</f>
        <v>424.179</v>
      </c>
      <c r="F5" s="37">
        <f>C5*E5</f>
        <v>875.505456</v>
      </c>
      <c r="G5" s="37">
        <f>K5*0.3</f>
        <v>181.791</v>
      </c>
      <c r="H5" s="37">
        <f>C5*G5</f>
        <v>375.216624</v>
      </c>
      <c r="I5" s="45">
        <f>F5+H5</f>
        <v>1250.72208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6">
        <v>0.357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85.63323299999999</v>
      </c>
      <c r="G6" s="37">
        <f aca="true" t="shared" si="2" ref="G6:G11">K6*0.3</f>
        <v>102.801</v>
      </c>
      <c r="H6" s="37">
        <f aca="true" t="shared" si="3" ref="H6:H11">C6*G6</f>
        <v>36.699957</v>
      </c>
      <c r="I6" s="45">
        <f aca="true" t="shared" si="4" ref="I6:I11">F6+H6</f>
        <v>122.33318999999999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</v>
      </c>
      <c r="D7" s="50" t="s">
        <v>14</v>
      </c>
      <c r="E7" s="37">
        <f t="shared" si="0"/>
        <v>19.578999999999997</v>
      </c>
      <c r="F7" s="37">
        <f t="shared" si="1"/>
        <v>58.736999999999995</v>
      </c>
      <c r="G7" s="37">
        <f t="shared" si="2"/>
        <v>8.391</v>
      </c>
      <c r="H7" s="37">
        <f t="shared" si="3"/>
        <v>25.173000000000002</v>
      </c>
      <c r="I7" s="45">
        <f t="shared" si="4"/>
        <v>83.91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4">
        <v>11.6</v>
      </c>
      <c r="D8" s="15" t="s">
        <v>30</v>
      </c>
      <c r="E8" s="37">
        <f t="shared" si="0"/>
        <v>4.221</v>
      </c>
      <c r="F8" s="37">
        <f t="shared" si="1"/>
        <v>48.9636</v>
      </c>
      <c r="G8" s="37">
        <f t="shared" si="2"/>
        <v>1.809</v>
      </c>
      <c r="H8" s="37">
        <f t="shared" si="3"/>
        <v>20.984399999999997</v>
      </c>
      <c r="I8" s="45">
        <f t="shared" si="4"/>
        <v>69.948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1.308</v>
      </c>
      <c r="D9" s="15" t="s">
        <v>30</v>
      </c>
      <c r="E9" s="37">
        <f t="shared" si="0"/>
        <v>4.781</v>
      </c>
      <c r="F9" s="37">
        <f t="shared" si="1"/>
        <v>6.253547999999999</v>
      </c>
      <c r="G9" s="37">
        <f t="shared" si="2"/>
        <v>2.049</v>
      </c>
      <c r="H9" s="37">
        <f t="shared" si="3"/>
        <v>2.680092</v>
      </c>
      <c r="I9" s="45">
        <f t="shared" si="4"/>
        <v>8.93364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69</v>
      </c>
      <c r="C10" s="44">
        <v>1</v>
      </c>
      <c r="D10" s="15" t="s">
        <v>17</v>
      </c>
      <c r="E10" s="37">
        <f t="shared" si="0"/>
        <v>27.293</v>
      </c>
      <c r="F10" s="37">
        <f t="shared" si="1"/>
        <v>27.293</v>
      </c>
      <c r="G10" s="37">
        <f t="shared" si="2"/>
        <v>11.697000000000001</v>
      </c>
      <c r="H10" s="37">
        <f t="shared" si="3"/>
        <v>11.697000000000001</v>
      </c>
      <c r="I10" s="45">
        <f t="shared" si="4"/>
        <v>38.99</v>
      </c>
      <c r="J10" s="18">
        <v>94274</v>
      </c>
      <c r="K10" s="16">
        <v>38.99</v>
      </c>
      <c r="M10" s="6"/>
    </row>
    <row r="11" spans="1:13" ht="26.25" thickBot="1">
      <c r="A11" s="51" t="s">
        <v>25</v>
      </c>
      <c r="B11" s="42" t="s">
        <v>70</v>
      </c>
      <c r="C11" s="92">
        <v>0.171</v>
      </c>
      <c r="D11" s="19" t="s">
        <v>8</v>
      </c>
      <c r="E11" s="37">
        <f t="shared" si="0"/>
        <v>325.577</v>
      </c>
      <c r="F11" s="52">
        <f t="shared" si="1"/>
        <v>55.673667</v>
      </c>
      <c r="G11" s="37">
        <f t="shared" si="2"/>
        <v>139.533</v>
      </c>
      <c r="H11" s="52">
        <f t="shared" si="3"/>
        <v>23.860143</v>
      </c>
      <c r="I11" s="93">
        <f t="shared" si="4"/>
        <v>79.53381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1158.0595039999998</v>
      </c>
      <c r="G12" s="96"/>
      <c r="H12" s="97">
        <f>SUM(H5:H11)</f>
        <v>496.311216</v>
      </c>
      <c r="I12" s="98">
        <f>SUM(I5:I11)</f>
        <v>1654.3707200000001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230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J28" sqref="J28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84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91">
        <v>2.494</v>
      </c>
      <c r="D5" s="49" t="s">
        <v>8</v>
      </c>
      <c r="E5" s="37">
        <f>K5*0.7</f>
        <v>424.179</v>
      </c>
      <c r="F5" s="37">
        <f>C5*E5</f>
        <v>1057.902426</v>
      </c>
      <c r="G5" s="37">
        <f>K5*0.3</f>
        <v>181.791</v>
      </c>
      <c r="H5" s="37">
        <f>C5*G5</f>
        <v>453.38675400000005</v>
      </c>
      <c r="I5" s="45">
        <f>F5+H5</f>
        <v>1511.2891800000002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6">
        <v>0.357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85.63323299999999</v>
      </c>
      <c r="G6" s="37">
        <f aca="true" t="shared" si="2" ref="G6:G11">K6*0.3</f>
        <v>102.801</v>
      </c>
      <c r="H6" s="37">
        <f aca="true" t="shared" si="3" ref="H6:H11">C6*G6</f>
        <v>36.699957</v>
      </c>
      <c r="I6" s="45">
        <f aca="true" t="shared" si="4" ref="I6:I11">F6+H6</f>
        <v>122.33318999999999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</v>
      </c>
      <c r="D7" s="50" t="s">
        <v>14</v>
      </c>
      <c r="E7" s="37">
        <f t="shared" si="0"/>
        <v>19.578999999999997</v>
      </c>
      <c r="F7" s="37">
        <f t="shared" si="1"/>
        <v>58.736999999999995</v>
      </c>
      <c r="G7" s="37">
        <f t="shared" si="2"/>
        <v>8.391</v>
      </c>
      <c r="H7" s="37">
        <f t="shared" si="3"/>
        <v>25.173000000000002</v>
      </c>
      <c r="I7" s="45">
        <f t="shared" si="4"/>
        <v>83.91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4">
        <v>11.6</v>
      </c>
      <c r="D8" s="15" t="s">
        <v>30</v>
      </c>
      <c r="E8" s="37">
        <f t="shared" si="0"/>
        <v>4.221</v>
      </c>
      <c r="F8" s="37">
        <f t="shared" si="1"/>
        <v>48.9636</v>
      </c>
      <c r="G8" s="37">
        <f t="shared" si="2"/>
        <v>1.809</v>
      </c>
      <c r="H8" s="37">
        <f t="shared" si="3"/>
        <v>20.984399999999997</v>
      </c>
      <c r="I8" s="45">
        <f t="shared" si="4"/>
        <v>69.948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1.308</v>
      </c>
      <c r="D9" s="15" t="s">
        <v>30</v>
      </c>
      <c r="E9" s="37">
        <f t="shared" si="0"/>
        <v>4.781</v>
      </c>
      <c r="F9" s="37">
        <f t="shared" si="1"/>
        <v>6.253547999999999</v>
      </c>
      <c r="G9" s="37">
        <f t="shared" si="2"/>
        <v>2.049</v>
      </c>
      <c r="H9" s="37">
        <f t="shared" si="3"/>
        <v>2.680092</v>
      </c>
      <c r="I9" s="45">
        <f t="shared" si="4"/>
        <v>8.93364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69</v>
      </c>
      <c r="C10" s="44">
        <v>1</v>
      </c>
      <c r="D10" s="15" t="s">
        <v>17</v>
      </c>
      <c r="E10" s="37">
        <f t="shared" si="0"/>
        <v>27.293</v>
      </c>
      <c r="F10" s="37">
        <f t="shared" si="1"/>
        <v>27.293</v>
      </c>
      <c r="G10" s="37">
        <f t="shared" si="2"/>
        <v>11.697000000000001</v>
      </c>
      <c r="H10" s="37">
        <f t="shared" si="3"/>
        <v>11.697000000000001</v>
      </c>
      <c r="I10" s="45">
        <f t="shared" si="4"/>
        <v>38.99</v>
      </c>
      <c r="J10" s="18">
        <v>94274</v>
      </c>
      <c r="K10" s="16">
        <v>38.99</v>
      </c>
      <c r="M10" s="6"/>
    </row>
    <row r="11" spans="1:13" ht="26.25" thickBot="1">
      <c r="A11" s="51" t="s">
        <v>25</v>
      </c>
      <c r="B11" s="42" t="s">
        <v>70</v>
      </c>
      <c r="C11" s="92">
        <v>0.206</v>
      </c>
      <c r="D11" s="19" t="s">
        <v>8</v>
      </c>
      <c r="E11" s="37">
        <f t="shared" si="0"/>
        <v>325.577</v>
      </c>
      <c r="F11" s="52">
        <f t="shared" si="1"/>
        <v>67.068862</v>
      </c>
      <c r="G11" s="37">
        <f t="shared" si="2"/>
        <v>139.533</v>
      </c>
      <c r="H11" s="52">
        <f t="shared" si="3"/>
        <v>28.743797999999995</v>
      </c>
      <c r="I11" s="93">
        <f t="shared" si="4"/>
        <v>95.81266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1351.8516690000001</v>
      </c>
      <c r="G12" s="96"/>
      <c r="H12" s="97">
        <f>SUM(H5:H11)</f>
        <v>579.365001</v>
      </c>
      <c r="I12" s="98">
        <f>SUM(I5:I11)</f>
        <v>1931.2166700000005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230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I28" sqref="I28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45" t="s">
        <v>26</v>
      </c>
      <c r="B1" s="346"/>
      <c r="C1" s="346"/>
      <c r="D1" s="346"/>
      <c r="E1" s="346"/>
      <c r="F1" s="346"/>
      <c r="G1" s="346"/>
      <c r="H1" s="346"/>
      <c r="I1" s="346"/>
      <c r="J1" s="347"/>
      <c r="K1" s="348"/>
    </row>
    <row r="2" spans="1:11" ht="15.75" customHeight="1" thickBot="1">
      <c r="A2" s="345" t="s">
        <v>88</v>
      </c>
      <c r="B2" s="346"/>
      <c r="C2" s="346"/>
      <c r="D2" s="346"/>
      <c r="E2" s="346"/>
      <c r="F2" s="349"/>
      <c r="G2" s="346" t="s">
        <v>73</v>
      </c>
      <c r="H2" s="346"/>
      <c r="I2" s="346"/>
      <c r="J2" s="350" t="s">
        <v>198</v>
      </c>
      <c r="K2" s="353" t="s">
        <v>31</v>
      </c>
    </row>
    <row r="3" spans="1:11" ht="14.25" customHeight="1">
      <c r="A3" s="356" t="s">
        <v>0</v>
      </c>
      <c r="B3" s="343" t="s">
        <v>28</v>
      </c>
      <c r="C3" s="343" t="s">
        <v>1</v>
      </c>
      <c r="D3" s="358" t="s">
        <v>2</v>
      </c>
      <c r="E3" s="360" t="s">
        <v>22</v>
      </c>
      <c r="F3" s="361"/>
      <c r="G3" s="360" t="s">
        <v>23</v>
      </c>
      <c r="H3" s="361"/>
      <c r="I3" s="358" t="s">
        <v>4</v>
      </c>
      <c r="J3" s="351"/>
      <c r="K3" s="354"/>
    </row>
    <row r="4" spans="1:11" ht="14.25" customHeight="1" thickBot="1">
      <c r="A4" s="357"/>
      <c r="B4" s="344"/>
      <c r="C4" s="344"/>
      <c r="D4" s="359"/>
      <c r="E4" s="12" t="s">
        <v>3</v>
      </c>
      <c r="F4" s="13" t="s">
        <v>4</v>
      </c>
      <c r="G4" s="12" t="s">
        <v>3</v>
      </c>
      <c r="H4" s="13" t="s">
        <v>4</v>
      </c>
      <c r="I4" s="359"/>
      <c r="J4" s="352"/>
      <c r="K4" s="355"/>
    </row>
    <row r="5" spans="1:13" ht="25.5">
      <c r="A5" s="14" t="s">
        <v>5</v>
      </c>
      <c r="B5" s="39" t="s">
        <v>65</v>
      </c>
      <c r="C5" s="91">
        <v>1.032</v>
      </c>
      <c r="D5" s="49" t="s">
        <v>8</v>
      </c>
      <c r="E5" s="37">
        <f>K5*0.7</f>
        <v>424.179</v>
      </c>
      <c r="F5" s="37">
        <f>C5*E5</f>
        <v>437.752728</v>
      </c>
      <c r="G5" s="37">
        <f>K5*0.3</f>
        <v>181.791</v>
      </c>
      <c r="H5" s="37">
        <f>C5*G5</f>
        <v>187.608312</v>
      </c>
      <c r="I5" s="45">
        <f>F5+H5</f>
        <v>625.36104</v>
      </c>
      <c r="J5" s="99">
        <v>95474</v>
      </c>
      <c r="K5" s="100">
        <v>605.97</v>
      </c>
      <c r="M5" s="4"/>
    </row>
    <row r="6" spans="1:13" ht="15">
      <c r="A6" s="14" t="s">
        <v>13</v>
      </c>
      <c r="B6" s="38" t="s">
        <v>66</v>
      </c>
      <c r="C6" s="46">
        <v>0.357</v>
      </c>
      <c r="D6" s="15" t="s">
        <v>8</v>
      </c>
      <c r="E6" s="37">
        <f aca="true" t="shared" si="0" ref="E6:E11">K6*0.7</f>
        <v>239.869</v>
      </c>
      <c r="F6" s="37">
        <f aca="true" t="shared" si="1" ref="F6:F11">C6*E6</f>
        <v>85.63323299999999</v>
      </c>
      <c r="G6" s="37">
        <f aca="true" t="shared" si="2" ref="G6:G11">K6*0.3</f>
        <v>102.801</v>
      </c>
      <c r="H6" s="37">
        <f aca="true" t="shared" si="3" ref="H6:H11">C6*G6</f>
        <v>36.699957</v>
      </c>
      <c r="I6" s="45">
        <f aca="true" t="shared" si="4" ref="I6:I11">F6+H6</f>
        <v>122.33318999999999</v>
      </c>
      <c r="J6" s="18">
        <v>94971</v>
      </c>
      <c r="K6" s="16">
        <v>342.67</v>
      </c>
      <c r="M6" s="4"/>
    </row>
    <row r="7" spans="1:13" ht="25.5">
      <c r="A7" s="14" t="s">
        <v>15</v>
      </c>
      <c r="B7" s="39" t="s">
        <v>87</v>
      </c>
      <c r="C7" s="101">
        <v>3</v>
      </c>
      <c r="D7" s="50" t="s">
        <v>14</v>
      </c>
      <c r="E7" s="37">
        <f t="shared" si="0"/>
        <v>19.578999999999997</v>
      </c>
      <c r="F7" s="37">
        <f t="shared" si="1"/>
        <v>58.736999999999995</v>
      </c>
      <c r="G7" s="37">
        <f t="shared" si="2"/>
        <v>8.391</v>
      </c>
      <c r="H7" s="37">
        <f t="shared" si="3"/>
        <v>25.173000000000002</v>
      </c>
      <c r="I7" s="45">
        <f t="shared" si="4"/>
        <v>83.91</v>
      </c>
      <c r="J7" s="18">
        <v>92271</v>
      </c>
      <c r="K7" s="16">
        <v>27.97</v>
      </c>
      <c r="M7" s="5"/>
    </row>
    <row r="8" spans="1:13" ht="25.5">
      <c r="A8" s="14" t="s">
        <v>19</v>
      </c>
      <c r="B8" s="39" t="s">
        <v>67</v>
      </c>
      <c r="C8" s="44">
        <v>11.6</v>
      </c>
      <c r="D8" s="15" t="s">
        <v>30</v>
      </c>
      <c r="E8" s="37">
        <f t="shared" si="0"/>
        <v>4.221</v>
      </c>
      <c r="F8" s="37">
        <f t="shared" si="1"/>
        <v>48.9636</v>
      </c>
      <c r="G8" s="37">
        <f t="shared" si="2"/>
        <v>1.809</v>
      </c>
      <c r="H8" s="37">
        <f t="shared" si="3"/>
        <v>20.984399999999997</v>
      </c>
      <c r="I8" s="45">
        <f t="shared" si="4"/>
        <v>69.948</v>
      </c>
      <c r="J8" s="18">
        <v>92792</v>
      </c>
      <c r="K8" s="16">
        <v>6.03</v>
      </c>
      <c r="M8" s="6"/>
    </row>
    <row r="9" spans="1:13" ht="25.5">
      <c r="A9" s="14" t="s">
        <v>20</v>
      </c>
      <c r="B9" s="39" t="s">
        <v>68</v>
      </c>
      <c r="C9" s="46">
        <v>1.308</v>
      </c>
      <c r="D9" s="15" t="s">
        <v>30</v>
      </c>
      <c r="E9" s="37">
        <f t="shared" si="0"/>
        <v>4.781</v>
      </c>
      <c r="F9" s="37">
        <f t="shared" si="1"/>
        <v>6.253547999999999</v>
      </c>
      <c r="G9" s="37">
        <f t="shared" si="2"/>
        <v>2.049</v>
      </c>
      <c r="H9" s="37">
        <f t="shared" si="3"/>
        <v>2.680092</v>
      </c>
      <c r="I9" s="45">
        <f t="shared" si="4"/>
        <v>8.93364</v>
      </c>
      <c r="J9" s="18">
        <v>92799</v>
      </c>
      <c r="K9" s="16">
        <v>6.83</v>
      </c>
      <c r="M9" s="6"/>
    </row>
    <row r="10" spans="1:13" ht="15">
      <c r="A10" s="14" t="s">
        <v>24</v>
      </c>
      <c r="B10" s="38" t="s">
        <v>69</v>
      </c>
      <c r="C10" s="44">
        <v>1</v>
      </c>
      <c r="D10" s="15" t="s">
        <v>17</v>
      </c>
      <c r="E10" s="37">
        <f t="shared" si="0"/>
        <v>27.293</v>
      </c>
      <c r="F10" s="37">
        <f t="shared" si="1"/>
        <v>27.293</v>
      </c>
      <c r="G10" s="37">
        <f t="shared" si="2"/>
        <v>11.697000000000001</v>
      </c>
      <c r="H10" s="37">
        <f t="shared" si="3"/>
        <v>11.697000000000001</v>
      </c>
      <c r="I10" s="45">
        <f t="shared" si="4"/>
        <v>38.99</v>
      </c>
      <c r="J10" s="18">
        <v>94274</v>
      </c>
      <c r="K10" s="16">
        <v>38.99</v>
      </c>
      <c r="M10" s="6"/>
    </row>
    <row r="11" spans="1:13" ht="26.25" thickBot="1">
      <c r="A11" s="51" t="s">
        <v>25</v>
      </c>
      <c r="B11" s="42" t="s">
        <v>70</v>
      </c>
      <c r="C11" s="92">
        <v>0.087</v>
      </c>
      <c r="D11" s="19" t="s">
        <v>8</v>
      </c>
      <c r="E11" s="37">
        <f t="shared" si="0"/>
        <v>325.577</v>
      </c>
      <c r="F11" s="52">
        <f t="shared" si="1"/>
        <v>28.325198999999998</v>
      </c>
      <c r="G11" s="37">
        <f t="shared" si="2"/>
        <v>139.533</v>
      </c>
      <c r="H11" s="52">
        <f t="shared" si="3"/>
        <v>12.139370999999999</v>
      </c>
      <c r="I11" s="93">
        <f t="shared" si="4"/>
        <v>40.464569999999995</v>
      </c>
      <c r="J11" s="18">
        <v>87377</v>
      </c>
      <c r="K11" s="16">
        <v>465.11</v>
      </c>
      <c r="M11" s="6"/>
    </row>
    <row r="12" spans="1:13" ht="15.75" thickBot="1">
      <c r="A12" s="94"/>
      <c r="B12" s="67" t="s">
        <v>75</v>
      </c>
      <c r="C12" s="95"/>
      <c r="D12" s="95"/>
      <c r="E12" s="96"/>
      <c r="F12" s="97">
        <f>SUM(F5:F11)</f>
        <v>692.958308</v>
      </c>
      <c r="G12" s="96"/>
      <c r="H12" s="97">
        <f>SUM(H5:H11)</f>
        <v>296.982132</v>
      </c>
      <c r="I12" s="98">
        <f>SUM(I5:I11)</f>
        <v>989.9404399999999</v>
      </c>
      <c r="J12" s="102"/>
      <c r="K12" s="103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230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7"/>
      <c r="J15" s="17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4"/>
      <c r="I16" s="56"/>
      <c r="J16" s="8"/>
      <c r="K16" s="8"/>
    </row>
    <row r="17" spans="1:11" ht="15">
      <c r="A17" s="7"/>
      <c r="B17" s="342"/>
      <c r="C17" s="342"/>
      <c r="D17" s="281" t="s">
        <v>71</v>
      </c>
      <c r="E17" s="281"/>
      <c r="F17" s="281"/>
      <c r="G17" s="7"/>
      <c r="H17" s="293" t="s">
        <v>254</v>
      </c>
      <c r="I17" s="293"/>
      <c r="J17" s="7"/>
      <c r="K17" s="7"/>
    </row>
    <row r="18" spans="1:11" ht="15">
      <c r="A18" s="7"/>
      <c r="B18" s="342"/>
      <c r="C18" s="342"/>
      <c r="D18" s="281" t="s">
        <v>41</v>
      </c>
      <c r="E18" s="281"/>
      <c r="F18" s="281"/>
      <c r="G18" s="7"/>
      <c r="H18" s="293" t="s">
        <v>46</v>
      </c>
      <c r="I18" s="293"/>
      <c r="J18" s="7"/>
      <c r="K18" s="7"/>
    </row>
    <row r="19" spans="1:11" ht="15">
      <c r="A19" s="7"/>
      <c r="B19" s="342"/>
      <c r="C19" s="342"/>
      <c r="D19" s="281" t="s">
        <v>72</v>
      </c>
      <c r="E19" s="281"/>
      <c r="F19" s="281"/>
      <c r="G19" s="7"/>
      <c r="H19" s="281" t="s">
        <v>74</v>
      </c>
      <c r="I19" s="281"/>
      <c r="J19" s="7"/>
      <c r="K19" s="7"/>
    </row>
  </sheetData>
  <sheetProtection/>
  <mergeCells count="21">
    <mergeCell ref="B18:C18"/>
    <mergeCell ref="B19:C19"/>
    <mergeCell ref="D3:D4"/>
    <mergeCell ref="B3:B4"/>
    <mergeCell ref="H17:I17"/>
    <mergeCell ref="H19:I19"/>
    <mergeCell ref="G3:H3"/>
    <mergeCell ref="I3:I4"/>
    <mergeCell ref="B17:C17"/>
    <mergeCell ref="D19:F19"/>
    <mergeCell ref="E3:F3"/>
    <mergeCell ref="A1:K1"/>
    <mergeCell ref="A2:F2"/>
    <mergeCell ref="G2:I2"/>
    <mergeCell ref="J2:J4"/>
    <mergeCell ref="K2:K4"/>
    <mergeCell ref="H18:I18"/>
    <mergeCell ref="A3:A4"/>
    <mergeCell ref="D18:F18"/>
    <mergeCell ref="C3:C4"/>
    <mergeCell ref="D17:F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Engenharia</cp:lastModifiedBy>
  <cp:lastPrinted>2019-11-26T15:00:57Z</cp:lastPrinted>
  <dcterms:created xsi:type="dcterms:W3CDTF">2004-03-03T01:33:17Z</dcterms:created>
  <dcterms:modified xsi:type="dcterms:W3CDTF">2019-11-26T15:02:22Z</dcterms:modified>
  <cp:category/>
  <cp:version/>
  <cp:contentType/>
  <cp:contentStatus/>
</cp:coreProperties>
</file>