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3" activeTab="0"/>
  </bookViews>
  <sheets>
    <sheet name="Orçamento" sheetId="1" r:id="rId1"/>
    <sheet name="Cronograma" sheetId="2" r:id="rId2"/>
    <sheet name="BDI" sheetId="3" r:id="rId3"/>
    <sheet name="Comp. SINAPI 95995 adaptada" sheetId="4" r:id="rId4"/>
    <sheet name="Mobilização" sheetId="5" r:id="rId5"/>
    <sheet name="Administração" sheetId="6" r:id="rId6"/>
  </sheets>
  <externalReferences>
    <externalReference r:id="rId9"/>
  </externalReferences>
  <definedNames>
    <definedName name="_xlnm.Print_Area" localSheetId="2">'BDI'!$A$1:$F$46</definedName>
    <definedName name="_xlnm.Print_Area" localSheetId="3">'Comp. SINAPI 95995 adaptada'!$A$1:$K$23</definedName>
    <definedName name="_xlnm.Print_Area" localSheetId="1">'Cronograma'!$A$1:$K$22</definedName>
    <definedName name="_xlnm.Print_Area" localSheetId="0">'Orçamento'!$A$1:$L$41</definedName>
    <definedName name="DATABASE">TEXT(Import.DataBase,"mm-aaaa")</definedName>
    <definedName name="Import.DataBase">'[1]DADOS'!$A$38</definedName>
    <definedName name="Referencia.Descricao" localSheetId="2">#N/A</definedName>
    <definedName name="Referencia.Descricao" localSheetId="1">#N/A</definedName>
    <definedName name="Referencia.Descricao" localSheetId="0">#N/A</definedName>
    <definedName name="Referencia.Descricao">IF(ISNUMBER([1]!linhaSINAPIxls),INDEX(INDIRECT("'[Referência "&amp;DATABASE&amp;".xls]Banco'!$b:$g"),[1]!linhaSINAPIxls,3),"")</definedName>
    <definedName name="_xlnm.Print_Titles" localSheetId="0">'Orçamento'!$1:$9</definedName>
  </definedNames>
  <calcPr fullCalcOnLoad="1"/>
</workbook>
</file>

<file path=xl/sharedStrings.xml><?xml version="1.0" encoding="utf-8"?>
<sst xmlns="http://schemas.openxmlformats.org/spreadsheetml/2006/main" count="365" uniqueCount="221">
  <si>
    <t>ITEM</t>
  </si>
  <si>
    <t>QUANT</t>
  </si>
  <si>
    <t>UNID</t>
  </si>
  <si>
    <t>UNIT</t>
  </si>
  <si>
    <t>TOTAL</t>
  </si>
  <si>
    <t>1.1</t>
  </si>
  <si>
    <t>2.1</t>
  </si>
  <si>
    <t>Total  do Item</t>
  </si>
  <si>
    <t>m³</t>
  </si>
  <si>
    <t xml:space="preserve">TOTAL  ORÇAMENTO </t>
  </si>
  <si>
    <t>m</t>
  </si>
  <si>
    <t>2.2</t>
  </si>
  <si>
    <t>3.1</t>
  </si>
  <si>
    <t>1.2</t>
  </si>
  <si>
    <t>m²</t>
  </si>
  <si>
    <t>1.3</t>
  </si>
  <si>
    <t>3.2</t>
  </si>
  <si>
    <t>Total do Item</t>
  </si>
  <si>
    <t>1.4</t>
  </si>
  <si>
    <t>1.5</t>
  </si>
  <si>
    <t>2.3</t>
  </si>
  <si>
    <t>MATERIAL</t>
  </si>
  <si>
    <t>MÃO DE OBRA</t>
  </si>
  <si>
    <t>1.6</t>
  </si>
  <si>
    <t>1.7</t>
  </si>
  <si>
    <t>PLANILHAS DE COMPOSIÇÃO DE CUSTOS</t>
  </si>
  <si>
    <t>PLANILHA ORÇAMENTÁRIA</t>
  </si>
  <si>
    <t>DISCRIMINAÇÃO</t>
  </si>
  <si>
    <t>SERVIÇOS</t>
  </si>
  <si>
    <t>PREÇO SINAPI S/BDI</t>
  </si>
  <si>
    <t>Código</t>
  </si>
  <si>
    <t>Unit. Total</t>
  </si>
  <si>
    <t>Tabelas utilizadas:</t>
  </si>
  <si>
    <t>ENG.CIVIL</t>
  </si>
  <si>
    <t>BDI</t>
  </si>
  <si>
    <t>Unit. Total (BDI)</t>
  </si>
  <si>
    <t xml:space="preserve">  </t>
  </si>
  <si>
    <t>PREFEITO MUNICIPAL</t>
  </si>
  <si>
    <t>%</t>
  </si>
  <si>
    <t>PARCELA</t>
  </si>
  <si>
    <t>PARCELA ACUMULADA</t>
  </si>
  <si>
    <t>VALOR TOTAL</t>
  </si>
  <si>
    <t>PROPRIETÁRIO: PREFEITURA MUNICIPAL DE COXILHA</t>
  </si>
  <si>
    <t xml:space="preserve">EMPRESA - PROJETO E ORÇAMENTO: </t>
  </si>
  <si>
    <t>NELSO LUIZ DE OLIVEIRA</t>
  </si>
  <si>
    <t xml:space="preserve">CREA/RS 54246 </t>
  </si>
  <si>
    <t>COXILHA/RS</t>
  </si>
  <si>
    <t>TOTAL DO ITEM</t>
  </si>
  <si>
    <t>BDI: 26,36%</t>
  </si>
  <si>
    <t>CÁLCULO DO BDI</t>
  </si>
  <si>
    <t>Item</t>
  </si>
  <si>
    <t>Descrição dos Serviços</t>
  </si>
  <si>
    <t>PV</t>
  </si>
  <si>
    <t>CD</t>
  </si>
  <si>
    <t>ADMINISTRAÇÃO CENTRAL</t>
  </si>
  <si>
    <t xml:space="preserve"> </t>
  </si>
  <si>
    <t>ESCRITÓRIO CENTRAL</t>
  </si>
  <si>
    <t>VIAGENS</t>
  </si>
  <si>
    <t>OUTROS</t>
  </si>
  <si>
    <t>IMPOSTOS E TAXAS</t>
  </si>
  <si>
    <t>ISS</t>
  </si>
  <si>
    <t>PIS</t>
  </si>
  <si>
    <t>Cofins</t>
  </si>
  <si>
    <t>TAXA DE RISCO</t>
  </si>
  <si>
    <t>SEGURO</t>
  </si>
  <si>
    <t>RISCO</t>
  </si>
  <si>
    <t>GARANTIA</t>
  </si>
  <si>
    <t>DESPESAS FINANCEIRAS</t>
  </si>
  <si>
    <t>LUCRO</t>
  </si>
  <si>
    <t>BDI - CALCULADO</t>
  </si>
  <si>
    <t>BDI (CALCULADO):</t>
  </si>
  <si>
    <t xml:space="preserve">BDI CALCULADO CONFORME ACÓRDÃO Nº 2369/2011 – TCU </t>
  </si>
  <si>
    <t>Fórmula de Cálculo do BDI</t>
  </si>
  <si>
    <t>AC = Administração central;</t>
  </si>
  <si>
    <t>S = Seguros;</t>
  </si>
  <si>
    <t>R = Riscos e imprevistos;</t>
  </si>
  <si>
    <t>G = Garantias exigidas em edital;</t>
  </si>
  <si>
    <t>DF = Despesas financeiras;</t>
  </si>
  <si>
    <t>L = Remuneração bruta do construtor;</t>
  </si>
  <si>
    <t>I = Tributos sobre o preço de venda (PIS, Cofins, CPRB e ISS).</t>
  </si>
  <si>
    <t xml:space="preserve"> CÓD. SINAPI 06/2019</t>
  </si>
  <si>
    <t>SINAPI/RS EMT. 16/08/2019 - Desonerada</t>
  </si>
  <si>
    <t>COXILHA/RS, 01 DE SETEMBRO DE 2019</t>
  </si>
  <si>
    <t>MARCAÇÃO DA OBRA - TOPOGRAFIA PAVIMENTAÇÃO</t>
  </si>
  <si>
    <t>78472(SINAPI)</t>
  </si>
  <si>
    <t>SERVIÇOS DE TERRAPLENAGEM</t>
  </si>
  <si>
    <t xml:space="preserve"> ESCAVAÇÃO VERTICAL A CÉU ABERTO, INCLUINDO CARGA, DESCARGA E TRANSPORTE</t>
  </si>
  <si>
    <t>89885(SINAPI)</t>
  </si>
  <si>
    <t>CARGA, MANOBRA E DESCARGA DE MATERIAL REMOVIDO DO SUB-LEITO</t>
  </si>
  <si>
    <t>72894 (SINAPI)</t>
  </si>
  <si>
    <t>REGULARIZAÇÃO E COMPACTAÇÃO DO SUB-LEITO</t>
  </si>
  <si>
    <t>72961 (SINAPI)</t>
  </si>
  <si>
    <t>PAVIMENTAÇÃO</t>
  </si>
  <si>
    <t>EXECUÇÃO E COMPACTAÇÃO DE BASE E OU SUB BASE COM MACADAME SECO EXCLUSIVE ESCAVAÇÃO, CARGA E TRANSPORTE. AF_09/2017   H = 16cm</t>
  </si>
  <si>
    <t>96400(SINAPI)</t>
  </si>
  <si>
    <t>CARGA, MANOBRAS E DESCARGA DE BRITA PARA BASE DE MACADAME, COM CAMINHÃO BASCULANTE 6 M3, DESCARGA EM DISTRIBUIDOR</t>
  </si>
  <si>
    <t>72893(SINAPI)</t>
  </si>
  <si>
    <t>CARGA, MANOBRAS E DESCARGA DE BRITA PARA BASE DE BRITA GRADUADA, COM CAMINHÃO BASCULANTE 6 M3, DESCARGA EM DISTRIBUIDOR</t>
  </si>
  <si>
    <t>IMPRIMAÇÃO DE BASE DE PAVIMENTAÇÃO COM EMULSÃO CM-30</t>
  </si>
  <si>
    <t>96401(SINAPI)</t>
  </si>
  <si>
    <t>PINTURA DE LIGAÇÃO COM EMULSÃO RR-2C  -  P/ CAPA DE ROLAMENTO</t>
  </si>
  <si>
    <t>96402(SINAPI)</t>
  </si>
  <si>
    <t>CAPA DE ROLAMENTO - CONCRETO BETUMINOSO USINADO A QUENTE (CBUQ), INCLUSIVE TRANPORTE 10 Km, Esp 0,05m.</t>
  </si>
  <si>
    <t>SINALIZAÇÃO HORIZONTAL COM TINTA RETRORREFLETIVA A BASE DE RESINA ACRÍLICA COM MICROESFERAS DE VIDRO - FAIXAS, BORDAS E EIXO DA PISTA</t>
  </si>
  <si>
    <t>72947(SINAPI)</t>
  </si>
  <si>
    <t>MEIO FIO DE CONCRETO PRÉ-MOLDADO MFC 05</t>
  </si>
  <si>
    <t>94273 (SINAPI)</t>
  </si>
  <si>
    <t>ORÇAMENTO GERAL DE OBRA (PO) - LOTE 02</t>
  </si>
  <si>
    <t>OBRA: PAVIMENTAÇÃO</t>
  </si>
  <si>
    <t>LOCAL: NÚCLEO HABITACIONAL TEREZA DE OLIVEIRA PACHECO, COXILHA/RS</t>
  </si>
  <si>
    <t>RESPONSÁVEL TÉCNICO PROJETO E ORÇAMENTO: NELSO LUIZ DE OLIVEIRA</t>
  </si>
  <si>
    <t>MEIO FIO</t>
  </si>
  <si>
    <t>ILDO JOSÉ ORTH</t>
  </si>
  <si>
    <t>CRONOGRAMA FISICO-FINANCEIRO - LOTE 02</t>
  </si>
  <si>
    <t>MÊS 01</t>
  </si>
  <si>
    <t>MÊS 02</t>
  </si>
  <si>
    <t>MÊS 03</t>
  </si>
  <si>
    <t>Composição SINAPI 95995 adaptada</t>
  </si>
  <si>
    <t>1.8</t>
  </si>
  <si>
    <t>1.9</t>
  </si>
  <si>
    <t>1.10</t>
  </si>
  <si>
    <t>1.11</t>
  </si>
  <si>
    <t>VIBROACABADORA DE ASFALTO SOBRE ESTEIRAS, LARGURA DE PAVIMENTAÇÃO 1,90 M A 5,30 M, POTÊNCIA 105 HP CAPACIDADE 450 T/H - CHP DIURNO.</t>
  </si>
  <si>
    <t>chp</t>
  </si>
  <si>
    <t>VIBROACABADORA DE ASFALTO SOBRE ESTEIRAS, LARGURA DE PAVIMENTAÇÃO 1,90 M A 5,30 M, POTÊNCIA 105 HP CAPACIDADE 450 T/H - CHI DIURNO.</t>
  </si>
  <si>
    <t>chi</t>
  </si>
  <si>
    <t>RASTELEIRO COM ENCARGOS COMPLEMENTARES</t>
  </si>
  <si>
    <t>h</t>
  </si>
  <si>
    <t>CAMINHÃO BASCULANTE 10 M3, TRUCADO CABINE SIMPLES, PESO BRUTO TOTAL 23.000 KG, CARGA ÚTIL MÁXIMA 15.935 KG, DISTÂNCIA ENTRE EIXOS 4,80 M, POTÊNCIA 230 CV INCLUSIVE CAÇAMBA METÁLICA - CHP DIURNO.</t>
  </si>
  <si>
    <t xml:space="preserve"> UNIDADE : M³</t>
  </si>
  <si>
    <t xml:space="preserve">ROLO COMPACTADOR VIBRATORIO TANDEM, ACO LISO, POTENCIA 125 HP, PESO SEM/COM LASTRO 10,20/11,65 T, LARGURA DE TRABALHO 1,73 M - CHP DIURNO. </t>
  </si>
  <si>
    <t>ROLO COMPACTADOR VIBRATORIO TANDEM, ACO LISO, POTENCIA 125 HP, PESO SEM/COM LASTRO 10,20/11,65 T, LARGURA DE TRABALHO 1,73 M - CHI DIURNO.</t>
  </si>
  <si>
    <t>TRATOR DE PNEUS COM POTÊNCIA DE 85 CV, TRAÇÃO 4X4, COM VASSOURA MECÂNICA ACOPLADA - CHI DIURNO.</t>
  </si>
  <si>
    <t xml:space="preserve">TRATOR DE PNEUS COM POTÊNCIA DE 85 CV, TRAÇÃO 4X4, COM VASSOURA MECÂNICA ACOPLADA - CHP DIURNO. </t>
  </si>
  <si>
    <t>ROLO COMPACTADOR DE PNEUS, ESTATICO, PRESSAO VARIAVEL, POTENCIA 110 HP, PESO SEM/COM LASTRO 10,8/27 T, LARGURA DE ROLAGEM 2,30 M - CHP DIURNO.</t>
  </si>
  <si>
    <t>ROLO COMPACTADOR DE PNEUS, ESTATICO, PRESSAO VARIAVEL, POTENCIA 110 HP, PESO SEM/COM LASTRO 10,8/27 T, LARGURA DE ROLAGEM 2,30 M - CHI DIURNO.</t>
  </si>
  <si>
    <t>USINAGEM DE CBUQ COM CAP 50/70, PARA CAPA DE ROLAMENTO</t>
  </si>
  <si>
    <t>t</t>
  </si>
  <si>
    <t>95995(SINAPI) adaptada</t>
  </si>
  <si>
    <t>m³xkm</t>
  </si>
  <si>
    <t>TRANSPORTE COM CAMINHÃO BASCULANTE DE 10 M3, EM VIA URBANA PAVIMENTADA, DMT ACIMA DE 30KM (UNIDADE: M3XKM). AF_04/2016</t>
  </si>
  <si>
    <t>93590(SINAPI)</t>
  </si>
  <si>
    <t>EXECUÇÃO E COMPACTAÇÃO DE BASE E OU SUB BASE COM BRITA GRADUADA SIMPLES - EXCLUSIVE CARGA E TRANSPORTE. AF_09/2017</t>
  </si>
  <si>
    <t>96396(SINAPI)</t>
  </si>
  <si>
    <t>CONTRATO</t>
  </si>
  <si>
    <t>DMT (Km)</t>
  </si>
  <si>
    <t xml:space="preserve">Código </t>
  </si>
  <si>
    <t>Equipamentos de Grande Porte</t>
  </si>
  <si>
    <t>Quant.Equip.</t>
  </si>
  <si>
    <t>Origem</t>
  </si>
  <si>
    <t>Destino</t>
  </si>
  <si>
    <t>Vel Méd. (Km/h)</t>
  </si>
  <si>
    <t>Tempo de V.(h)</t>
  </si>
  <si>
    <t>Custo Transp. (R$)</t>
  </si>
  <si>
    <t>Total (R$)</t>
  </si>
  <si>
    <t>Fonte Preço</t>
  </si>
  <si>
    <t>Equip.Utilizado</t>
  </si>
  <si>
    <t>PRINCIPAIS CENTROS URBANOS</t>
  </si>
  <si>
    <t>ESCAVADEIRA HIDRAULICA SOBRE ESTEIRAS</t>
  </si>
  <si>
    <t>MEDIA</t>
  </si>
  <si>
    <t>OBRA</t>
  </si>
  <si>
    <t>CAMINHÃO + CAVALO</t>
  </si>
  <si>
    <t>ERECHIM</t>
  </si>
  <si>
    <t>DMT</t>
  </si>
  <si>
    <t>RETROESCAVADEIRA SOBRE RODAS COM CARREGADEIRA, TRAÇÃO 4X4, POTÊNCIA LÍQ. 88 HP, CAÇAMBA CARREG. CAP. MÍN. 1 M3, CAÇAMBA RETRO CAP. 0,26 M3</t>
  </si>
  <si>
    <t>MINICARREGADEIRA SOBRE RODAS, POTENCIA LIQUIDA DE *47* HP, CAPACIDADE NOMINAL</t>
  </si>
  <si>
    <t>VASSOURA MECANICA REBOCAVEL COM ESCOVA CILINDRICA LARGURA UTIL DE</t>
  </si>
  <si>
    <t>PASSO FUNDO</t>
  </si>
  <si>
    <t>TRATOR DE PNEUS, POTÊNCIA 122 CV, TRAÇÃO 4X4, PESO COM LASTRO DE 4.510 KG - CHP DIURNO. AF_06/2014</t>
  </si>
  <si>
    <t>ROLO COMPACTADOR VIBRATÓRIO PÉ DE CARNEIRO PARA SOLOS, POTÊNCIA 80 HP, PESO OPERACIONAL SEM/COM LASTRO 7,4 / 8,8 T, LARGURA DE TRABALHO 1,68M - CHP DIURNO. AF_02/2016</t>
  </si>
  <si>
    <t>MÉDIA</t>
  </si>
  <si>
    <t>ROLO COMPACTADOR VIBRATÓRIO DE UM CILINDRO AÇO LISO, POTÊNCIA 80 HP, PESO OPERACIONAL MÁXIMO 8,1 T, IMPACTO DINÂMICO 16,15 / 9,5 T, LARGURA DE TRABALHO 1,68 M - CHP DIURNO. AF_06/2014</t>
  </si>
  <si>
    <t>MOTONIVELADORA POTÊNCIA BÁSICA LÍQUIDA (PRIMEIRA MARCHA) 125 HP, PESO BRUTO 13032 KG, LARGURA DA LÂMINA DE 3,7 M - CHP DIURNO. AF_06/2014</t>
  </si>
  <si>
    <t>ROLO COMPACTADOR DE PNEUS ESTÁTICO, PRESSÃO VARIÁVEL, POTÊNCIA 99 HP, PESO SEM/COM LASTRO 9,45 / 21,0 T, LARGURA DE ROLAGEM 2,265 M - CHP DIURNO. AF_02/2016</t>
  </si>
  <si>
    <t>VIBROACABADORA DE ASFALTO SOBRE ESTEIRAS, LARGURA DE PAVIMENTAÇÃO 1,90 M A 5,30 M, POTÊNCIA 105 HP CAPACIDADE 450 T/H - CHP DIURNO. AF_11/2014</t>
  </si>
  <si>
    <t>SUBTOTAL EQUIPAMENTOS DE GRANDE PORTE</t>
  </si>
  <si>
    <t>Veiculos Leves</t>
  </si>
  <si>
    <t>DISTRIBUIDOR DE BETUME 6000L 56CV SOB PRESSAO MONTADO SOBRE CHASSIS DE CAMINHAO - CHP</t>
  </si>
  <si>
    <t>AUTOP.</t>
  </si>
  <si>
    <t>CAMINHÃO PIPA  6.000 L, PESO BRUTO TOTAL  13.000 KG, DISTÂNCIA ENTRE EIX    H</t>
  </si>
  <si>
    <t>CAMINHÃO BASCULANTE TERRAPLANAGEM</t>
  </si>
  <si>
    <t>SUBTOTAL VEICULOS LEVES</t>
  </si>
  <si>
    <t>TOTAL CUSTO DE MOBILIZAÇÃO</t>
  </si>
  <si>
    <t>COMPOSIÇÃO DE PREÇO AUXILIAR: CPU AUX 03</t>
  </si>
  <si>
    <t>Composição de custos da Administração Local</t>
  </si>
  <si>
    <t>Descrição</t>
  </si>
  <si>
    <t>Qtde</t>
  </si>
  <si>
    <t>Mês</t>
  </si>
  <si>
    <t>Custo unitário (R$)</t>
  </si>
  <si>
    <t>Proporcionalidade*</t>
  </si>
  <si>
    <t>Custo Total (R$)</t>
  </si>
  <si>
    <t>Mão de obra indireta</t>
  </si>
  <si>
    <t>Engenheiro Civil (93567)</t>
  </si>
  <si>
    <t>Encarregado geral (93572)</t>
  </si>
  <si>
    <t>Administrativo de obras (93566)</t>
  </si>
  <si>
    <t>Tecnico de laboratório (88321)</t>
  </si>
  <si>
    <t>Auxiliar de laboratório (88249)</t>
  </si>
  <si>
    <t>TOTAL MÃO DE OBRA</t>
  </si>
  <si>
    <t>CUSTO DIRETO TOTAL</t>
  </si>
  <si>
    <t>* Tempo efetivo à disposição da obra</t>
  </si>
  <si>
    <t>CHARRUA</t>
  </si>
  <si>
    <t>1.</t>
  </si>
  <si>
    <t>MOBILIZAÇÃO E DESMOBILIZAÇÃO</t>
  </si>
  <si>
    <t>unid.</t>
  </si>
  <si>
    <t>Composição</t>
  </si>
  <si>
    <t>2.</t>
  </si>
  <si>
    <t>3.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</si>
  <si>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</si>
  <si>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</si>
  <si>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</si>
  <si>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</si>
  <si>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</si>
  <si>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</si>
  <si>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</si>
  <si>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</si>
  <si>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</si>
  <si>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</t>
  </si>
  <si>
    <t>4.1</t>
  </si>
  <si>
    <t>ADMINISTRAÇÃO LOCAL</t>
  </si>
  <si>
    <t>SERVIÇOS INICIAIS</t>
  </si>
  <si>
    <t>QUADRO DEMONSTRATIVO DOS CUSTOS RELATIVOS À MOBILIZAÇÃO DOS EQUIPAMENTOS - CPU AUX 02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</si>
</sst>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_);_(* \(#,##0\);_(* &quot;-&quot;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.0"/>
    <numFmt numFmtId="175" formatCode="_-[$R$-416]\ * #,##0.00_-;\-[$R$-416]\ * #,##0.00_-;_-[$R$-416]\ * &quot;-&quot;??_-;_-@_-"/>
    <numFmt numFmtId="176" formatCode="0.0000"/>
    <numFmt numFmtId="177" formatCode="#,##0.00;[Red]#,##0.00"/>
    <numFmt numFmtId="178" formatCode="_(* #,##0.00_);_(* \(#,##0.00\);_(* \-??_);_(@_)"/>
  </numFmts>
  <fonts count="49">
    <font>
      <sz val="10"/>
      <name val="Arial"/>
      <family val="0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33" borderId="0" xfId="63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/>
    </xf>
    <xf numFmtId="2" fontId="1" fillId="0" borderId="0" xfId="63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1" fontId="3" fillId="0" borderId="14" xfId="63" applyFont="1" applyFill="1" applyBorder="1" applyAlignment="1">
      <alignment horizontal="center" vertical="center"/>
    </xf>
    <xf numFmtId="173" fontId="3" fillId="0" borderId="0" xfId="46" applyFont="1" applyAlignment="1">
      <alignment/>
    </xf>
    <xf numFmtId="0" fontId="3" fillId="34" borderId="13" xfId="63" applyNumberFormat="1" applyFont="1" applyFill="1" applyBorder="1" applyAlignment="1">
      <alignment horizontal="center" vertical="center"/>
    </xf>
    <xf numFmtId="171" fontId="3" fillId="0" borderId="15" xfId="6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63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3" fillId="0" borderId="0" xfId="63" applyNumberFormat="1" applyFont="1" applyFill="1" applyBorder="1" applyAlignment="1">
      <alignment vertical="center"/>
    </xf>
    <xf numFmtId="44" fontId="2" fillId="0" borderId="0" xfId="63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vertical="center"/>
    </xf>
    <xf numFmtId="173" fontId="3" fillId="0" borderId="14" xfId="46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173" fontId="3" fillId="0" borderId="16" xfId="46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1" fontId="3" fillId="0" borderId="17" xfId="63" applyFont="1" applyFill="1" applyBorder="1" applyAlignment="1">
      <alignment horizontal="center" vertical="center"/>
    </xf>
    <xf numFmtId="171" fontId="3" fillId="0" borderId="18" xfId="63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3" fontId="3" fillId="0" borderId="15" xfId="46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8" fontId="3" fillId="0" borderId="10" xfId="0" applyNumberFormat="1" applyFont="1" applyFill="1" applyBorder="1" applyAlignment="1">
      <alignment vertical="center"/>
    </xf>
    <xf numFmtId="44" fontId="2" fillId="0" borderId="10" xfId="63" applyNumberFormat="1" applyFont="1" applyFill="1" applyBorder="1" applyAlignment="1">
      <alignment vertical="center"/>
    </xf>
    <xf numFmtId="175" fontId="3" fillId="0" borderId="14" xfId="46" applyNumberFormat="1" applyFont="1" applyBorder="1" applyAlignment="1">
      <alignment horizontal="center" vertical="center"/>
    </xf>
    <xf numFmtId="10" fontId="3" fillId="0" borderId="14" xfId="63" applyNumberFormat="1" applyFont="1" applyFill="1" applyBorder="1" applyAlignment="1">
      <alignment horizontal="center" vertical="center"/>
    </xf>
    <xf numFmtId="173" fontId="3" fillId="0" borderId="14" xfId="46" applyFont="1" applyBorder="1" applyAlignment="1">
      <alignment horizontal="center" vertical="center"/>
    </xf>
    <xf numFmtId="44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3" fontId="2" fillId="0" borderId="14" xfId="46" applyFont="1" applyBorder="1" applyAlignment="1">
      <alignment horizontal="center" vertical="center"/>
    </xf>
    <xf numFmtId="10" fontId="2" fillId="0" borderId="14" xfId="63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4" fontId="3" fillId="35" borderId="22" xfId="63" applyNumberFormat="1" applyFont="1" applyFill="1" applyBorder="1" applyAlignment="1">
      <alignment horizontal="center" vertical="center"/>
    </xf>
    <xf numFmtId="44" fontId="3" fillId="35" borderId="22" xfId="63" applyNumberFormat="1" applyFont="1" applyFill="1" applyBorder="1" applyAlignment="1">
      <alignment horizontal="right" vertical="center"/>
    </xf>
    <xf numFmtId="44" fontId="2" fillId="35" borderId="22" xfId="63" applyNumberFormat="1" applyFont="1" applyFill="1" applyBorder="1" applyAlignment="1">
      <alignment horizontal="right" vertical="center"/>
    </xf>
    <xf numFmtId="44" fontId="2" fillId="35" borderId="12" xfId="63" applyNumberFormat="1" applyFont="1" applyFill="1" applyBorder="1" applyAlignment="1">
      <alignment horizontal="right" vertical="center"/>
    </xf>
    <xf numFmtId="4" fontId="3" fillId="35" borderId="0" xfId="0" applyNumberFormat="1" applyFont="1" applyFill="1" applyAlignment="1">
      <alignment vertical="center"/>
    </xf>
    <xf numFmtId="0" fontId="3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171" fontId="3" fillId="35" borderId="24" xfId="63" applyFont="1" applyFill="1" applyBorder="1" applyAlignment="1">
      <alignment vertical="center"/>
    </xf>
    <xf numFmtId="44" fontId="3" fillId="35" borderId="24" xfId="63" applyNumberFormat="1" applyFont="1" applyFill="1" applyBorder="1" applyAlignment="1">
      <alignment vertical="center"/>
    </xf>
    <xf numFmtId="44" fontId="2" fillId="35" borderId="24" xfId="63" applyNumberFormat="1" applyFont="1" applyFill="1" applyBorder="1" applyAlignment="1">
      <alignment vertical="center"/>
    </xf>
    <xf numFmtId="44" fontId="2" fillId="35" borderId="25" xfId="63" applyNumberFormat="1" applyFont="1" applyFill="1" applyBorder="1" applyAlignment="1">
      <alignment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175" fontId="3" fillId="34" borderId="26" xfId="63" applyNumberFormat="1" applyFont="1" applyFill="1" applyBorder="1" applyAlignment="1">
      <alignment horizontal="right" vertical="center"/>
    </xf>
    <xf numFmtId="0" fontId="3" fillId="34" borderId="11" xfId="63" applyNumberFormat="1" applyFont="1" applyFill="1" applyBorder="1" applyAlignment="1">
      <alignment horizontal="center" vertical="center"/>
    </xf>
    <xf numFmtId="175" fontId="3" fillId="34" borderId="12" xfId="63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3" fontId="3" fillId="0" borderId="0" xfId="46" applyFont="1" applyFill="1" applyBorder="1" applyAlignment="1">
      <alignment horizontal="center" vertical="center"/>
    </xf>
    <xf numFmtId="173" fontId="2" fillId="0" borderId="0" xfId="46" applyFont="1" applyFill="1" applyBorder="1" applyAlignment="1">
      <alignment horizontal="center" vertical="center"/>
    </xf>
    <xf numFmtId="173" fontId="2" fillId="0" borderId="0" xfId="46" applyNumberFormat="1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/>
    </xf>
    <xf numFmtId="0" fontId="3" fillId="0" borderId="0" xfId="63" applyNumberFormat="1" applyFont="1" applyFill="1" applyBorder="1" applyAlignment="1">
      <alignment horizontal="center" vertical="center"/>
    </xf>
    <xf numFmtId="175" fontId="3" fillId="0" borderId="0" xfId="63" applyNumberFormat="1" applyFont="1" applyFill="1" applyBorder="1" applyAlignment="1">
      <alignment horizontal="right" vertical="center"/>
    </xf>
    <xf numFmtId="44" fontId="3" fillId="0" borderId="0" xfId="0" applyNumberFormat="1" applyFont="1" applyFill="1" applyBorder="1" applyAlignment="1">
      <alignment/>
    </xf>
    <xf numFmtId="173" fontId="3" fillId="0" borderId="0" xfId="46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36" borderId="14" xfId="0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center" vertical="center"/>
    </xf>
    <xf numFmtId="0" fontId="46" fillId="36" borderId="28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43" fontId="4" fillId="35" borderId="14" xfId="0" applyNumberFormat="1" applyFont="1" applyFill="1" applyBorder="1" applyAlignment="1">
      <alignment horizontal="right" vertical="center"/>
    </xf>
    <xf numFmtId="43" fontId="4" fillId="35" borderId="28" xfId="0" applyNumberFormat="1" applyFont="1" applyFill="1" applyBorder="1" applyAlignment="1">
      <alignment horizontal="right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43" fontId="46" fillId="0" borderId="14" xfId="0" applyNumberFormat="1" applyFont="1" applyBorder="1" applyAlignment="1">
      <alignment vertical="center"/>
    </xf>
    <xf numFmtId="43" fontId="46" fillId="0" borderId="28" xfId="0" applyNumberFormat="1" applyFont="1" applyBorder="1" applyAlignment="1">
      <alignment vertical="center"/>
    </xf>
    <xf numFmtId="43" fontId="4" fillId="35" borderId="14" xfId="0" applyNumberFormat="1" applyFont="1" applyFill="1" applyBorder="1" applyAlignment="1">
      <alignment vertical="center"/>
    </xf>
    <xf numFmtId="43" fontId="4" fillId="35" borderId="28" xfId="0" applyNumberFormat="1" applyFont="1" applyFill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43" fontId="46" fillId="0" borderId="14" xfId="0" applyNumberFormat="1" applyFont="1" applyBorder="1" applyAlignment="1">
      <alignment horizontal="right" vertical="center"/>
    </xf>
    <xf numFmtId="43" fontId="46" fillId="35" borderId="14" xfId="0" applyNumberFormat="1" applyFont="1" applyFill="1" applyBorder="1" applyAlignment="1">
      <alignment vertical="center"/>
    </xf>
    <xf numFmtId="0" fontId="46" fillId="37" borderId="11" xfId="0" applyFont="1" applyFill="1" applyBorder="1" applyAlignment="1">
      <alignment horizontal="right" vertical="center"/>
    </xf>
    <xf numFmtId="0" fontId="4" fillId="37" borderId="22" xfId="0" applyFont="1" applyFill="1" applyBorder="1" applyAlignment="1">
      <alignment vertical="center"/>
    </xf>
    <xf numFmtId="2" fontId="4" fillId="37" borderId="22" xfId="0" applyNumberFormat="1" applyFont="1" applyFill="1" applyBorder="1" applyAlignment="1">
      <alignment vertical="center"/>
    </xf>
    <xf numFmtId="2" fontId="4" fillId="37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3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5" fontId="3" fillId="0" borderId="0" xfId="46" applyNumberFormat="1" applyFont="1" applyFill="1" applyBorder="1" applyAlignment="1">
      <alignment horizontal="center" vertical="center"/>
    </xf>
    <xf numFmtId="10" fontId="3" fillId="0" borderId="0" xfId="63" applyNumberFormat="1" applyFont="1" applyFill="1" applyBorder="1" applyAlignment="1">
      <alignment horizontal="center" vertical="center"/>
    </xf>
    <xf numFmtId="174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 wrapText="1"/>
    </xf>
    <xf numFmtId="4" fontId="3" fillId="0" borderId="15" xfId="63" applyNumberFormat="1" applyFont="1" applyFill="1" applyBorder="1" applyAlignment="1">
      <alignment horizontal="center" vertical="center"/>
    </xf>
    <xf numFmtId="44" fontId="3" fillId="0" borderId="15" xfId="63" applyNumberFormat="1" applyFont="1" applyFill="1" applyBorder="1" applyAlignment="1">
      <alignment vertical="center"/>
    </xf>
    <xf numFmtId="44" fontId="3" fillId="0" borderId="15" xfId="63" applyNumberFormat="1" applyFont="1" applyFill="1" applyBorder="1" applyAlignment="1">
      <alignment horizontal="right" vertical="center"/>
    </xf>
    <xf numFmtId="44" fontId="3" fillId="0" borderId="39" xfId="63" applyNumberFormat="1" applyFont="1" applyFill="1" applyBorder="1" applyAlignment="1">
      <alignment horizontal="right" vertical="center"/>
    </xf>
    <xf numFmtId="0" fontId="3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4" fontId="3" fillId="35" borderId="41" xfId="63" applyNumberFormat="1" applyFont="1" applyFill="1" applyBorder="1" applyAlignment="1">
      <alignment horizontal="center" vertical="center"/>
    </xf>
    <xf numFmtId="171" fontId="3" fillId="35" borderId="41" xfId="63" applyFont="1" applyFill="1" applyBorder="1" applyAlignment="1">
      <alignment horizontal="center" vertical="center"/>
    </xf>
    <xf numFmtId="44" fontId="3" fillId="35" borderId="41" xfId="63" applyNumberFormat="1" applyFont="1" applyFill="1" applyBorder="1" applyAlignment="1">
      <alignment horizontal="right" vertical="center"/>
    </xf>
    <xf numFmtId="44" fontId="2" fillId="35" borderId="41" xfId="63" applyNumberFormat="1" applyFont="1" applyFill="1" applyBorder="1" applyAlignment="1">
      <alignment horizontal="right" vertical="center"/>
    </xf>
    <xf numFmtId="44" fontId="2" fillId="35" borderId="42" xfId="63" applyNumberFormat="1" applyFont="1" applyFill="1" applyBorder="1" applyAlignment="1">
      <alignment horizontal="right" vertical="center"/>
    </xf>
    <xf numFmtId="4" fontId="3" fillId="35" borderId="0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top" wrapText="1"/>
    </xf>
    <xf numFmtId="4" fontId="3" fillId="0" borderId="18" xfId="63" applyNumberFormat="1" applyFont="1" applyFill="1" applyBorder="1" applyAlignment="1">
      <alignment horizontal="center" vertical="center"/>
    </xf>
    <xf numFmtId="44" fontId="3" fillId="0" borderId="18" xfId="63" applyNumberFormat="1" applyFont="1" applyFill="1" applyBorder="1" applyAlignment="1">
      <alignment vertical="center"/>
    </xf>
    <xf numFmtId="44" fontId="3" fillId="0" borderId="18" xfId="63" applyNumberFormat="1" applyFont="1" applyFill="1" applyBorder="1" applyAlignment="1">
      <alignment horizontal="right" vertical="center"/>
    </xf>
    <xf numFmtId="44" fontId="3" fillId="0" borderId="44" xfId="63" applyNumberFormat="1" applyFont="1" applyFill="1" applyBorder="1" applyAlignment="1">
      <alignment horizontal="right" vertical="center"/>
    </xf>
    <xf numFmtId="174" fontId="2" fillId="35" borderId="23" xfId="0" applyNumberFormat="1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/>
    </xf>
    <xf numFmtId="4" fontId="3" fillId="35" borderId="24" xfId="63" applyNumberFormat="1" applyFont="1" applyFill="1" applyBorder="1" applyAlignment="1">
      <alignment horizontal="center" vertical="center"/>
    </xf>
    <xf numFmtId="44" fontId="3" fillId="35" borderId="24" xfId="63" applyNumberFormat="1" applyFont="1" applyFill="1" applyBorder="1" applyAlignment="1">
      <alignment horizontal="right" vertical="center"/>
    </xf>
    <xf numFmtId="44" fontId="2" fillId="35" borderId="24" xfId="63" applyNumberFormat="1" applyFont="1" applyFill="1" applyBorder="1" applyAlignment="1">
      <alignment horizontal="right" vertical="center"/>
    </xf>
    <xf numFmtId="44" fontId="2" fillId="35" borderId="25" xfId="63" applyNumberFormat="1" applyFont="1" applyFill="1" applyBorder="1" applyAlignment="1">
      <alignment horizontal="right" vertical="center"/>
    </xf>
    <xf numFmtId="173" fontId="3" fillId="0" borderId="45" xfId="46" applyFont="1" applyFill="1" applyBorder="1" applyAlignment="1">
      <alignment horizontal="center" vertical="center"/>
    </xf>
    <xf numFmtId="173" fontId="3" fillId="0" borderId="17" xfId="46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" fontId="3" fillId="35" borderId="23" xfId="0" applyNumberFormat="1" applyFont="1" applyFill="1" applyBorder="1" applyAlignment="1">
      <alignment vertical="center"/>
    </xf>
    <xf numFmtId="4" fontId="3" fillId="35" borderId="24" xfId="0" applyNumberFormat="1" applyFont="1" applyFill="1" applyBorder="1" applyAlignment="1">
      <alignment vertical="center"/>
    </xf>
    <xf numFmtId="0" fontId="3" fillId="35" borderId="2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top" wrapText="1"/>
    </xf>
    <xf numFmtId="4" fontId="3" fillId="0" borderId="47" xfId="63" applyNumberFormat="1" applyFont="1" applyFill="1" applyBorder="1" applyAlignment="1">
      <alignment horizontal="center" vertical="center"/>
    </xf>
    <xf numFmtId="171" fontId="3" fillId="0" borderId="47" xfId="63" applyFont="1" applyFill="1" applyBorder="1" applyAlignment="1">
      <alignment horizontal="center" vertical="center"/>
    </xf>
    <xf numFmtId="44" fontId="3" fillId="0" borderId="47" xfId="63" applyNumberFormat="1" applyFont="1" applyFill="1" applyBorder="1" applyAlignment="1">
      <alignment vertical="center"/>
    </xf>
    <xf numFmtId="44" fontId="3" fillId="0" borderId="47" xfId="63" applyNumberFormat="1" applyFont="1" applyFill="1" applyBorder="1" applyAlignment="1">
      <alignment horizontal="right" vertical="center"/>
    </xf>
    <xf numFmtId="44" fontId="3" fillId="0" borderId="48" xfId="63" applyNumberFormat="1" applyFont="1" applyFill="1" applyBorder="1" applyAlignment="1">
      <alignment horizontal="right" vertical="center"/>
    </xf>
    <xf numFmtId="44" fontId="2" fillId="35" borderId="11" xfId="63" applyNumberFormat="1" applyFont="1" applyFill="1" applyBorder="1" applyAlignment="1">
      <alignment horizontal="right" vertical="center"/>
    </xf>
    <xf numFmtId="173" fontId="3" fillId="0" borderId="49" xfId="46" applyFont="1" applyFill="1" applyBorder="1" applyAlignment="1">
      <alignment horizontal="center" vertical="center"/>
    </xf>
    <xf numFmtId="173" fontId="3" fillId="0" borderId="50" xfId="46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73" fontId="3" fillId="0" borderId="13" xfId="46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1" fontId="3" fillId="35" borderId="24" xfId="63" applyFont="1" applyFill="1" applyBorder="1" applyAlignment="1">
      <alignment horizontal="right" vertical="center"/>
    </xf>
    <xf numFmtId="171" fontId="3" fillId="35" borderId="25" xfId="63" applyFont="1" applyFill="1" applyBorder="1" applyAlignment="1">
      <alignment horizontal="right" vertical="center"/>
    </xf>
    <xf numFmtId="0" fontId="3" fillId="34" borderId="19" xfId="63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1" fontId="3" fillId="0" borderId="41" xfId="63" applyFont="1" applyFill="1" applyBorder="1" applyAlignment="1">
      <alignment horizontal="center" vertical="center"/>
    </xf>
    <xf numFmtId="173" fontId="3" fillId="0" borderId="41" xfId="46" applyFont="1" applyFill="1" applyBorder="1" applyAlignment="1">
      <alignment horizontal="center" vertical="center"/>
    </xf>
    <xf numFmtId="173" fontId="2" fillId="0" borderId="41" xfId="46" applyFont="1" applyFill="1" applyBorder="1" applyAlignment="1">
      <alignment horizontal="center" vertical="center"/>
    </xf>
    <xf numFmtId="176" fontId="3" fillId="0" borderId="14" xfId="63" applyNumberFormat="1" applyFont="1" applyFill="1" applyBorder="1" applyAlignment="1">
      <alignment horizontal="center" vertical="center"/>
    </xf>
    <xf numFmtId="176" fontId="3" fillId="0" borderId="41" xfId="63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5" xfId="63" applyNumberFormat="1" applyFont="1" applyFill="1" applyBorder="1" applyAlignment="1">
      <alignment horizontal="center" vertical="center"/>
    </xf>
    <xf numFmtId="176" fontId="3" fillId="0" borderId="17" xfId="63" applyNumberFormat="1" applyFont="1" applyFill="1" applyBorder="1" applyAlignment="1">
      <alignment horizontal="center" vertical="center"/>
    </xf>
    <xf numFmtId="173" fontId="2" fillId="0" borderId="52" xfId="46" applyNumberFormat="1" applyFont="1" applyFill="1" applyBorder="1" applyAlignment="1">
      <alignment horizontal="center" vertical="center"/>
    </xf>
    <xf numFmtId="0" fontId="3" fillId="34" borderId="49" xfId="63" applyNumberFormat="1" applyFont="1" applyFill="1" applyBorder="1" applyAlignment="1">
      <alignment horizontal="center" vertical="center"/>
    </xf>
    <xf numFmtId="175" fontId="3" fillId="34" borderId="51" xfId="63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0" fontId="47" fillId="38" borderId="0" xfId="50" applyFont="1" applyFill="1">
      <alignment/>
      <protection/>
    </xf>
    <xf numFmtId="43" fontId="3" fillId="38" borderId="0" xfId="50" applyNumberFormat="1" applyFont="1" applyFill="1" applyAlignment="1">
      <alignment horizontal="left" vertical="center"/>
      <protection/>
    </xf>
    <xf numFmtId="0" fontId="47" fillId="0" borderId="53" xfId="50" applyFont="1" applyBorder="1">
      <alignment/>
      <protection/>
    </xf>
    <xf numFmtId="43" fontId="47" fillId="0" borderId="53" xfId="50" applyNumberFormat="1" applyFont="1" applyBorder="1">
      <alignment/>
      <protection/>
    </xf>
    <xf numFmtId="43" fontId="47" fillId="38" borderId="0" xfId="50" applyNumberFormat="1" applyFont="1" applyFill="1">
      <alignment/>
      <protection/>
    </xf>
    <xf numFmtId="49" fontId="2" fillId="39" borderId="53" xfId="50" applyNumberFormat="1" applyFont="1" applyFill="1" applyBorder="1" applyAlignment="1">
      <alignment horizontal="center" vertical="center"/>
      <protection/>
    </xf>
    <xf numFmtId="0" fontId="48" fillId="0" borderId="53" xfId="50" applyFont="1" applyBorder="1" applyAlignment="1">
      <alignment horizontal="center" vertical="center"/>
      <protection/>
    </xf>
    <xf numFmtId="49" fontId="3" fillId="0" borderId="53" xfId="50" applyNumberFormat="1" applyFont="1" applyBorder="1" applyAlignment="1">
      <alignment/>
      <protection/>
    </xf>
    <xf numFmtId="43" fontId="47" fillId="40" borderId="53" xfId="50" applyNumberFormat="1" applyFont="1" applyFill="1" applyBorder="1" applyAlignment="1">
      <alignment vertical="center"/>
      <protection/>
    </xf>
    <xf numFmtId="43" fontId="47" fillId="40" borderId="53" xfId="50" applyNumberFormat="1" applyFont="1" applyFill="1" applyBorder="1" applyAlignment="1">
      <alignment horizontal="right" vertical="center"/>
      <protection/>
    </xf>
    <xf numFmtId="0" fontId="48" fillId="40" borderId="53" xfId="50" applyNumberFormat="1" applyFont="1" applyFill="1" applyBorder="1" applyAlignment="1">
      <alignment horizontal="center" vertical="center"/>
      <protection/>
    </xf>
    <xf numFmtId="43" fontId="47" fillId="40" borderId="53" xfId="50" applyNumberFormat="1" applyFont="1" applyFill="1" applyBorder="1" applyAlignment="1">
      <alignment horizontal="left" vertical="center"/>
      <protection/>
    </xf>
    <xf numFmtId="43" fontId="3" fillId="38" borderId="53" xfId="50" applyNumberFormat="1" applyFont="1" applyFill="1" applyBorder="1" applyAlignment="1">
      <alignment horizontal="left" vertical="center"/>
      <protection/>
    </xf>
    <xf numFmtId="49" fontId="3" fillId="0" borderId="53" xfId="50" applyNumberFormat="1" applyFont="1" applyBorder="1" applyAlignment="1">
      <alignment vertical="center" wrapText="1"/>
      <protection/>
    </xf>
    <xf numFmtId="49" fontId="3" fillId="0" borderId="53" xfId="50" applyNumberFormat="1" applyFont="1" applyBorder="1" applyAlignment="1">
      <alignment horizontal="left" wrapText="1"/>
      <protection/>
    </xf>
    <xf numFmtId="0" fontId="47" fillId="38" borderId="0" xfId="50" applyFont="1" applyFill="1" applyAlignment="1">
      <alignment vertical="center"/>
      <protection/>
    </xf>
    <xf numFmtId="0" fontId="47" fillId="0" borderId="53" xfId="50" applyFont="1" applyBorder="1" applyAlignment="1">
      <alignment vertical="center" wrapText="1"/>
      <protection/>
    </xf>
    <xf numFmtId="0" fontId="3" fillId="0" borderId="0" xfId="50" applyFont="1">
      <alignment/>
      <protection/>
    </xf>
    <xf numFmtId="43" fontId="48" fillId="0" borderId="53" xfId="50" applyNumberFormat="1" applyFont="1" applyBorder="1">
      <alignment/>
      <protection/>
    </xf>
    <xf numFmtId="0" fontId="48" fillId="40" borderId="53" xfId="50" applyFont="1" applyFill="1" applyBorder="1" applyAlignment="1">
      <alignment horizontal="center" vertical="center"/>
      <protection/>
    </xf>
    <xf numFmtId="43" fontId="47" fillId="40" borderId="53" xfId="50" applyNumberFormat="1" applyFont="1" applyFill="1" applyBorder="1" applyAlignment="1">
      <alignment horizontal="center" vertical="center"/>
      <protection/>
    </xf>
    <xf numFmtId="0" fontId="47" fillId="35" borderId="53" xfId="50" applyFont="1" applyFill="1" applyBorder="1">
      <alignment/>
      <protection/>
    </xf>
    <xf numFmtId="0" fontId="47" fillId="35" borderId="53" xfId="50" applyFont="1" applyFill="1" applyBorder="1" applyAlignment="1">
      <alignment wrapText="1"/>
      <protection/>
    </xf>
    <xf numFmtId="0" fontId="47" fillId="0" borderId="0" xfId="50" applyFont="1">
      <alignment/>
      <protection/>
    </xf>
    <xf numFmtId="43" fontId="3" fillId="0" borderId="0" xfId="50" applyNumberFormat="1" applyFont="1" applyAlignment="1">
      <alignment horizontal="left" vertical="center"/>
      <protection/>
    </xf>
    <xf numFmtId="43" fontId="3" fillId="0" borderId="0" xfId="50" applyNumberFormat="1" applyFont="1" applyAlignment="1">
      <alignment horizontal="left"/>
      <protection/>
    </xf>
    <xf numFmtId="0" fontId="48" fillId="0" borderId="53" xfId="50" applyFont="1" applyBorder="1" applyAlignment="1">
      <alignment horizontal="center"/>
      <protection/>
    </xf>
    <xf numFmtId="0" fontId="3" fillId="0" borderId="53" xfId="50" applyFont="1" applyBorder="1">
      <alignment/>
      <protection/>
    </xf>
    <xf numFmtId="178" fontId="3" fillId="0" borderId="53" xfId="65" applyFont="1" applyBorder="1" applyAlignment="1">
      <alignment/>
    </xf>
    <xf numFmtId="14" fontId="3" fillId="0" borderId="53" xfId="50" applyNumberFormat="1" applyFont="1" applyBorder="1">
      <alignment/>
      <protection/>
    </xf>
    <xf numFmtId="10" fontId="3" fillId="0" borderId="53" xfId="52" applyNumberFormat="1" applyFont="1" applyBorder="1" applyAlignment="1">
      <alignment/>
    </xf>
    <xf numFmtId="178" fontId="3" fillId="40" borderId="53" xfId="65" applyFont="1" applyFill="1" applyBorder="1" applyAlignment="1">
      <alignment/>
    </xf>
    <xf numFmtId="0" fontId="48" fillId="0" borderId="53" xfId="50" applyFont="1" applyBorder="1">
      <alignment/>
      <protection/>
    </xf>
    <xf numFmtId="0" fontId="3" fillId="0" borderId="15" xfId="0" applyFont="1" applyFill="1" applyBorder="1" applyAlignment="1">
      <alignment horizontal="center" vertical="top" wrapText="1"/>
    </xf>
    <xf numFmtId="174" fontId="2" fillId="35" borderId="4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46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8" fontId="3" fillId="0" borderId="54" xfId="0" applyNumberFormat="1" applyFont="1" applyFill="1" applyBorder="1" applyAlignment="1">
      <alignment horizontal="center" vertical="center"/>
    </xf>
    <xf numFmtId="8" fontId="3" fillId="0" borderId="0" xfId="0" applyNumberFormat="1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center"/>
    </xf>
    <xf numFmtId="0" fontId="6" fillId="35" borderId="51" xfId="0" applyFont="1" applyFill="1" applyBorder="1" applyAlignment="1">
      <alignment horizontal="center"/>
    </xf>
    <xf numFmtId="0" fontId="2" fillId="35" borderId="55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2" fillId="35" borderId="32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28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2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40" borderId="36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3" fontId="2" fillId="0" borderId="14" xfId="46" applyFont="1" applyBorder="1" applyAlignment="1">
      <alignment horizontal="center" vertical="center"/>
    </xf>
    <xf numFmtId="10" fontId="2" fillId="0" borderId="14" xfId="63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45" xfId="0" applyFont="1" applyFill="1" applyBorder="1" applyAlignment="1">
      <alignment horizontal="left" vertical="center"/>
    </xf>
    <xf numFmtId="0" fontId="2" fillId="35" borderId="64" xfId="0" applyFont="1" applyFill="1" applyBorder="1" applyAlignment="1">
      <alignment horizontal="left" vertical="center"/>
    </xf>
    <xf numFmtId="0" fontId="2" fillId="35" borderId="62" xfId="0" applyFont="1" applyFill="1" applyBorder="1" applyAlignment="1">
      <alignment horizontal="left" vertical="center"/>
    </xf>
    <xf numFmtId="0" fontId="2" fillId="35" borderId="43" xfId="0" applyFont="1" applyFill="1" applyBorder="1" applyAlignment="1">
      <alignment horizontal="left" vertical="center"/>
    </xf>
    <xf numFmtId="0" fontId="2" fillId="35" borderId="65" xfId="0" applyFont="1" applyFill="1" applyBorder="1" applyAlignment="1">
      <alignment horizontal="left" vertical="center"/>
    </xf>
    <xf numFmtId="0" fontId="2" fillId="35" borderId="54" xfId="0" applyFont="1" applyFill="1" applyBorder="1" applyAlignment="1">
      <alignment horizontal="left" vertical="center"/>
    </xf>
    <xf numFmtId="0" fontId="2" fillId="35" borderId="6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5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8" fillId="0" borderId="53" xfId="50" applyFont="1" applyBorder="1" applyAlignment="1">
      <alignment horizontal="right"/>
      <protection/>
    </xf>
    <xf numFmtId="0" fontId="48" fillId="0" borderId="53" xfId="50" applyFont="1" applyBorder="1" applyAlignment="1">
      <alignment horizontal="center"/>
      <protection/>
    </xf>
    <xf numFmtId="0" fontId="47" fillId="0" borderId="53" xfId="50" applyFont="1" applyBorder="1" applyAlignment="1">
      <alignment horizontal="center"/>
      <protection/>
    </xf>
    <xf numFmtId="0" fontId="47" fillId="0" borderId="53" xfId="50" applyFont="1" applyBorder="1" applyAlignment="1">
      <alignment horizontal="left"/>
      <protection/>
    </xf>
    <xf numFmtId="43" fontId="2" fillId="39" borderId="53" xfId="50" applyNumberFormat="1" applyFont="1" applyFill="1" applyBorder="1" applyAlignment="1">
      <alignment horizontal="center" vertical="center"/>
      <protection/>
    </xf>
    <xf numFmtId="43" fontId="3" fillId="38" borderId="53" xfId="50" applyNumberFormat="1" applyFont="1" applyFill="1" applyBorder="1" applyAlignment="1">
      <alignment horizontal="center" vertical="center"/>
      <protection/>
    </xf>
    <xf numFmtId="0" fontId="3" fillId="39" borderId="53" xfId="50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Neutra" xfId="49"/>
    <cellStyle name="Normal 2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24</xdr:row>
      <xdr:rowOff>85725</xdr:rowOff>
    </xdr:from>
    <xdr:to>
      <xdr:col>4</xdr:col>
      <xdr:colOff>504825</xdr:colOff>
      <xdr:row>27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695825"/>
          <a:ext cx="3162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Or&#231;amento\PLANILHA%20F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sheetId="2" refersTo="=PO!$X1"/>
    </definedNames>
    <sheetDataSet>
      <sheetData sheetId="0">
        <row r="38">
          <cell r="A38">
            <v>43221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tabSelected="1" view="pageBreakPreview" zoomScale="85" zoomScaleSheetLayoutView="85" zoomScalePageLayoutView="0" workbookViewId="0" topLeftCell="A31">
      <selection activeCell="A24" sqref="A24:L24"/>
    </sheetView>
  </sheetViews>
  <sheetFormatPr defaultColWidth="9.140625" defaultRowHeight="12.75"/>
  <cols>
    <col min="1" max="1" width="9.57421875" style="1" customWidth="1"/>
    <col min="2" max="2" width="39.421875" style="1" customWidth="1"/>
    <col min="3" max="3" width="9.28125" style="1" bestFit="1" customWidth="1"/>
    <col min="4" max="4" width="6.140625" style="1" bestFit="1" customWidth="1"/>
    <col min="5" max="5" width="12.28125" style="1" bestFit="1" customWidth="1"/>
    <col min="6" max="6" width="14.57421875" style="1" bestFit="1" customWidth="1"/>
    <col min="7" max="7" width="13.421875" style="1" bestFit="1" customWidth="1"/>
    <col min="8" max="8" width="14.140625" style="1" bestFit="1" customWidth="1"/>
    <col min="9" max="9" width="15.57421875" style="1" bestFit="1" customWidth="1"/>
    <col min="10" max="10" width="15.7109375" style="1" bestFit="1" customWidth="1"/>
    <col min="11" max="11" width="12.7109375" style="1" bestFit="1" customWidth="1"/>
    <col min="12" max="12" width="17.28125" style="1" bestFit="1" customWidth="1"/>
    <col min="13" max="13" width="11.421875" style="1" bestFit="1" customWidth="1"/>
    <col min="14" max="14" width="14.8515625" style="1" bestFit="1" customWidth="1"/>
    <col min="15" max="15" width="8.57421875" style="1" bestFit="1" customWidth="1"/>
    <col min="16" max="16" width="14.8515625" style="1" bestFit="1" customWidth="1"/>
    <col min="17" max="17" width="8.57421875" style="1" bestFit="1" customWidth="1"/>
    <col min="18" max="16384" width="9.140625" style="1" customWidth="1"/>
  </cols>
  <sheetData>
    <row r="1" spans="1:12" ht="15.75">
      <c r="A1" s="230" t="s">
        <v>107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7" ht="15">
      <c r="A2" s="246" t="s">
        <v>42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8"/>
      <c r="M2" s="24"/>
      <c r="N2" s="51"/>
      <c r="O2" s="51"/>
      <c r="P2" s="51"/>
      <c r="Q2" s="51"/>
    </row>
    <row r="3" spans="1:17" ht="15">
      <c r="A3" s="249" t="s">
        <v>108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1"/>
      <c r="M3" s="24"/>
      <c r="N3" s="51"/>
      <c r="O3" s="51"/>
      <c r="P3" s="51"/>
      <c r="Q3" s="51"/>
    </row>
    <row r="4" spans="1:17" ht="15">
      <c r="A4" s="249" t="s">
        <v>109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1"/>
      <c r="M4" s="24"/>
      <c r="N4" s="51"/>
      <c r="O4" s="51"/>
      <c r="P4" s="51"/>
      <c r="Q4" s="51"/>
    </row>
    <row r="5" spans="1:17" ht="14.25" customHeight="1">
      <c r="A5" s="249" t="s">
        <v>43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1"/>
      <c r="M5" s="24"/>
      <c r="N5" s="51"/>
      <c r="O5" s="51"/>
      <c r="P5" s="51"/>
      <c r="Q5" s="51"/>
    </row>
    <row r="6" spans="1:17" ht="14.25" customHeight="1" thickBot="1">
      <c r="A6" s="252" t="s">
        <v>110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4"/>
      <c r="M6" s="24"/>
      <c r="N6" s="51"/>
      <c r="O6" s="51"/>
      <c r="P6" s="51"/>
      <c r="Q6" s="51"/>
    </row>
    <row r="7" spans="1:17" ht="15.75" thickBot="1">
      <c r="A7" s="255" t="s">
        <v>26</v>
      </c>
      <c r="B7" s="256"/>
      <c r="C7" s="256"/>
      <c r="D7" s="256"/>
      <c r="E7" s="256"/>
      <c r="F7" s="256"/>
      <c r="G7" s="256"/>
      <c r="H7" s="256"/>
      <c r="I7" s="257"/>
      <c r="J7" s="258" t="s">
        <v>32</v>
      </c>
      <c r="K7" s="259"/>
      <c r="L7" s="260"/>
      <c r="M7" s="25" t="s">
        <v>34</v>
      </c>
      <c r="N7" s="51"/>
      <c r="O7" s="51"/>
      <c r="P7" s="51"/>
      <c r="Q7" s="51"/>
    </row>
    <row r="8" spans="1:17" ht="15.75" thickBot="1">
      <c r="A8" s="233" t="s">
        <v>0</v>
      </c>
      <c r="B8" s="233" t="s">
        <v>28</v>
      </c>
      <c r="C8" s="241" t="s">
        <v>1</v>
      </c>
      <c r="D8" s="233" t="s">
        <v>2</v>
      </c>
      <c r="E8" s="243" t="s">
        <v>21</v>
      </c>
      <c r="F8" s="243"/>
      <c r="G8" s="244" t="s">
        <v>22</v>
      </c>
      <c r="H8" s="245"/>
      <c r="I8" s="233" t="s">
        <v>4</v>
      </c>
      <c r="J8" s="235" t="s">
        <v>81</v>
      </c>
      <c r="K8" s="236"/>
      <c r="L8" s="237"/>
      <c r="M8" s="74">
        <v>1.2636</v>
      </c>
      <c r="N8" s="75"/>
      <c r="O8" s="19"/>
      <c r="P8" s="75"/>
      <c r="Q8" s="19"/>
    </row>
    <row r="9" spans="1:17" ht="15.75" thickBot="1">
      <c r="A9" s="234"/>
      <c r="B9" s="234"/>
      <c r="C9" s="242"/>
      <c r="D9" s="234"/>
      <c r="E9" s="52" t="s">
        <v>3</v>
      </c>
      <c r="F9" s="53" t="s">
        <v>4</v>
      </c>
      <c r="G9" s="54" t="s">
        <v>3</v>
      </c>
      <c r="H9" s="55" t="s">
        <v>4</v>
      </c>
      <c r="I9" s="234"/>
      <c r="J9" s="68" t="s">
        <v>35</v>
      </c>
      <c r="K9" s="63" t="s">
        <v>31</v>
      </c>
      <c r="L9" s="69" t="s">
        <v>30</v>
      </c>
      <c r="M9" s="24"/>
      <c r="N9" s="126"/>
      <c r="O9" s="127"/>
      <c r="P9" s="76"/>
      <c r="Q9" s="127"/>
    </row>
    <row r="10" spans="1:13" ht="18.75" customHeight="1" thickBot="1">
      <c r="A10" s="149" t="s">
        <v>201</v>
      </c>
      <c r="B10" s="150" t="s">
        <v>219</v>
      </c>
      <c r="C10" s="151"/>
      <c r="D10" s="151"/>
      <c r="E10" s="152"/>
      <c r="F10" s="153"/>
      <c r="G10" s="152"/>
      <c r="H10" s="153"/>
      <c r="I10" s="154"/>
      <c r="J10" s="158"/>
      <c r="K10" s="159"/>
      <c r="L10" s="160"/>
      <c r="M10" s="26"/>
    </row>
    <row r="11" spans="1:13" ht="25.5">
      <c r="A11" s="161" t="s">
        <v>5</v>
      </c>
      <c r="B11" s="162" t="s">
        <v>83</v>
      </c>
      <c r="C11" s="163">
        <v>6867.37</v>
      </c>
      <c r="D11" s="164" t="s">
        <v>14</v>
      </c>
      <c r="E11" s="165">
        <f>J11*0.7</f>
        <v>0.3361176</v>
      </c>
      <c r="F11" s="166">
        <f>C11*E11</f>
        <v>2308.243922712</v>
      </c>
      <c r="G11" s="166">
        <f>J11*0.3</f>
        <v>0.1440504</v>
      </c>
      <c r="H11" s="166">
        <f>C11*G11</f>
        <v>989.2473954479999</v>
      </c>
      <c r="I11" s="167">
        <f>F11+H11</f>
        <v>3297.4913181599995</v>
      </c>
      <c r="J11" s="169">
        <f>K11*$M$8</f>
        <v>0.48016800000000004</v>
      </c>
      <c r="K11" s="170">
        <v>0.38</v>
      </c>
      <c r="L11" s="171" t="s">
        <v>84</v>
      </c>
      <c r="M11" s="26"/>
    </row>
    <row r="12" spans="1:13" ht="15">
      <c r="A12" s="223" t="s">
        <v>13</v>
      </c>
      <c r="B12" s="129" t="s">
        <v>202</v>
      </c>
      <c r="C12" s="130">
        <v>1</v>
      </c>
      <c r="D12" s="18" t="s">
        <v>203</v>
      </c>
      <c r="E12" s="131">
        <f>J12*0</f>
        <v>0</v>
      </c>
      <c r="F12" s="132">
        <f>C12*E12</f>
        <v>0</v>
      </c>
      <c r="G12" s="132">
        <f>J12*1</f>
        <v>4831.829496</v>
      </c>
      <c r="H12" s="132">
        <f>C12*G12</f>
        <v>4831.829496</v>
      </c>
      <c r="I12" s="133">
        <f>F12+H12</f>
        <v>4831.829496</v>
      </c>
      <c r="J12" s="172">
        <f>K12*$M$8</f>
        <v>4831.829496</v>
      </c>
      <c r="K12" s="30">
        <f>Mobilização!J21</f>
        <v>3823.86</v>
      </c>
      <c r="L12" s="173" t="s">
        <v>204</v>
      </c>
      <c r="M12" s="26"/>
    </row>
    <row r="13" spans="1:13" ht="15">
      <c r="A13" s="223" t="s">
        <v>15</v>
      </c>
      <c r="B13" s="129" t="s">
        <v>218</v>
      </c>
      <c r="C13" s="130">
        <v>1</v>
      </c>
      <c r="D13" s="18" t="s">
        <v>203</v>
      </c>
      <c r="E13" s="131">
        <f>J13*0</f>
        <v>0</v>
      </c>
      <c r="F13" s="132">
        <f>C13*E13</f>
        <v>0</v>
      </c>
      <c r="G13" s="132">
        <f>J13*1</f>
        <v>22364.1995745636</v>
      </c>
      <c r="H13" s="132">
        <f>C13*G13</f>
        <v>22364.1995745636</v>
      </c>
      <c r="I13" s="133">
        <f>F13+H13</f>
        <v>22364.1995745636</v>
      </c>
      <c r="J13" s="172">
        <f>K13*$M$8</f>
        <v>22364.1995745636</v>
      </c>
      <c r="K13" s="30">
        <f>Administração!F12</f>
        <v>17698.796751</v>
      </c>
      <c r="L13" s="173" t="s">
        <v>204</v>
      </c>
      <c r="M13" s="26"/>
    </row>
    <row r="14" spans="1:13" ht="28.5" customHeight="1" thickBot="1">
      <c r="A14" s="168"/>
      <c r="B14" s="56" t="s">
        <v>7</v>
      </c>
      <c r="C14" s="57"/>
      <c r="D14" s="57"/>
      <c r="E14" s="58"/>
      <c r="F14" s="59">
        <f>SUM(F11:F11)</f>
        <v>2308.243922712</v>
      </c>
      <c r="G14" s="59"/>
      <c r="H14" s="59">
        <f>SUM(H11:H11)</f>
        <v>989.2473954479999</v>
      </c>
      <c r="I14" s="60">
        <f>SUM(I11:I13)</f>
        <v>30493.520388723602</v>
      </c>
      <c r="J14" s="168"/>
      <c r="K14" s="59"/>
      <c r="L14" s="60"/>
      <c r="M14" s="26" t="s">
        <v>36</v>
      </c>
    </row>
    <row r="15" spans="1:13" ht="28.5" customHeight="1" thickBot="1">
      <c r="A15" s="149" t="s">
        <v>205</v>
      </c>
      <c r="B15" s="150" t="s">
        <v>85</v>
      </c>
      <c r="C15" s="151"/>
      <c r="D15" s="151"/>
      <c r="E15" s="152"/>
      <c r="F15" s="153"/>
      <c r="G15" s="152"/>
      <c r="H15" s="153"/>
      <c r="I15" s="154"/>
      <c r="J15" s="158"/>
      <c r="K15" s="159"/>
      <c r="L15" s="160"/>
      <c r="M15" s="26"/>
    </row>
    <row r="16" spans="1:13" ht="28.5" customHeight="1" thickBot="1">
      <c r="A16" s="161" t="s">
        <v>6</v>
      </c>
      <c r="B16" s="162" t="s">
        <v>86</v>
      </c>
      <c r="C16" s="163">
        <v>1827.7</v>
      </c>
      <c r="D16" s="164" t="s">
        <v>8</v>
      </c>
      <c r="E16" s="165">
        <f>J16*0.7</f>
        <v>7.040779199999999</v>
      </c>
      <c r="F16" s="166">
        <f>C16*E16</f>
        <v>12868.432143839998</v>
      </c>
      <c r="G16" s="166">
        <f>J16*0.3</f>
        <v>3.0174768</v>
      </c>
      <c r="H16" s="166">
        <f>C16*G16</f>
        <v>5515.042347359999</v>
      </c>
      <c r="I16" s="167">
        <f>SUM(F16+H16)</f>
        <v>18383.4744912</v>
      </c>
      <c r="J16" s="169">
        <f>K16*$M$8</f>
        <v>10.058256</v>
      </c>
      <c r="K16" s="170">
        <v>7.96</v>
      </c>
      <c r="L16" s="171" t="s">
        <v>87</v>
      </c>
      <c r="M16" s="26"/>
    </row>
    <row r="17" spans="1:13" ht="28.5" customHeight="1" thickBot="1">
      <c r="A17" s="161" t="s">
        <v>11</v>
      </c>
      <c r="B17" s="129" t="s">
        <v>88</v>
      </c>
      <c r="C17" s="130">
        <v>1827.7</v>
      </c>
      <c r="D17" s="18" t="s">
        <v>8</v>
      </c>
      <c r="E17" s="131">
        <f>J17*0.7</f>
        <v>3.555770399999999</v>
      </c>
      <c r="F17" s="132">
        <f>C17*E17</f>
        <v>6498.881560079999</v>
      </c>
      <c r="G17" s="132">
        <f>J17*0.3</f>
        <v>1.5239015999999999</v>
      </c>
      <c r="H17" s="132">
        <f>C17*G17</f>
        <v>2785.23495432</v>
      </c>
      <c r="I17" s="133">
        <f>SUM(F17+H17)</f>
        <v>9284.116514399999</v>
      </c>
      <c r="J17" s="172">
        <f>K17*$M$8</f>
        <v>5.0796719999999995</v>
      </c>
      <c r="K17" s="30">
        <v>4.02</v>
      </c>
      <c r="L17" s="173" t="s">
        <v>89</v>
      </c>
      <c r="M17" s="26"/>
    </row>
    <row r="18" spans="1:13" ht="28.5" customHeight="1">
      <c r="A18" s="161" t="s">
        <v>20</v>
      </c>
      <c r="B18" s="129" t="s">
        <v>90</v>
      </c>
      <c r="C18" s="130">
        <v>5222</v>
      </c>
      <c r="D18" s="18" t="s">
        <v>14</v>
      </c>
      <c r="E18" s="131">
        <f>J18*0.7</f>
        <v>1.1410308</v>
      </c>
      <c r="F18" s="132">
        <f>C18*E18</f>
        <v>5958.4628376</v>
      </c>
      <c r="G18" s="132">
        <f>J18*0.3</f>
        <v>0.4890132</v>
      </c>
      <c r="H18" s="132">
        <f>C18*G18</f>
        <v>2553.6269303999998</v>
      </c>
      <c r="I18" s="133">
        <f>SUM(F18+H18)</f>
        <v>8512.089768</v>
      </c>
      <c r="J18" s="172">
        <f>K18*$M$8</f>
        <v>1.630044</v>
      </c>
      <c r="K18" s="30">
        <v>1.29</v>
      </c>
      <c r="L18" s="173" t="s">
        <v>91</v>
      </c>
      <c r="M18" s="26"/>
    </row>
    <row r="19" spans="1:13" ht="28.5" customHeight="1" thickBot="1">
      <c r="A19" s="168"/>
      <c r="B19" s="56" t="s">
        <v>7</v>
      </c>
      <c r="C19" s="57"/>
      <c r="D19" s="57"/>
      <c r="E19" s="58"/>
      <c r="F19" s="59">
        <f>SUM(F16:F18)</f>
        <v>25325.776541519997</v>
      </c>
      <c r="G19" s="59"/>
      <c r="H19" s="59">
        <f>SUM(H16:H18)</f>
        <v>10853.904232079998</v>
      </c>
      <c r="I19" s="60">
        <f>SUM(I16:I18)</f>
        <v>36179.6807736</v>
      </c>
      <c r="J19" s="168"/>
      <c r="K19" s="59"/>
      <c r="L19" s="60"/>
      <c r="M19" s="26"/>
    </row>
    <row r="20" spans="1:13" ht="28.5" customHeight="1" thickBot="1">
      <c r="A20" s="224" t="s">
        <v>206</v>
      </c>
      <c r="B20" s="150" t="s">
        <v>92</v>
      </c>
      <c r="C20" s="151"/>
      <c r="D20" s="151"/>
      <c r="E20" s="152"/>
      <c r="F20" s="153"/>
      <c r="G20" s="152"/>
      <c r="H20" s="153"/>
      <c r="I20" s="154"/>
      <c r="J20" s="158"/>
      <c r="K20" s="159"/>
      <c r="L20" s="160"/>
      <c r="M20" s="26"/>
    </row>
    <row r="21" spans="1:13" ht="54" customHeight="1">
      <c r="A21" s="225" t="s">
        <v>12</v>
      </c>
      <c r="B21" s="162" t="s">
        <v>93</v>
      </c>
      <c r="C21" s="163">
        <v>847.84</v>
      </c>
      <c r="D21" s="164" t="s">
        <v>8</v>
      </c>
      <c r="E21" s="165">
        <f>J21*0.7</f>
        <v>72.619092</v>
      </c>
      <c r="F21" s="166">
        <f aca="true" t="shared" si="0" ref="F21:F31">C21*E21</f>
        <v>61569.37096128</v>
      </c>
      <c r="G21" s="166">
        <f aca="true" t="shared" si="1" ref="G21:G31">J21*0.3</f>
        <v>31.122467999999998</v>
      </c>
      <c r="H21" s="166">
        <f aca="true" t="shared" si="2" ref="H21:H31">C21*G21</f>
        <v>26386.87326912</v>
      </c>
      <c r="I21" s="167">
        <f aca="true" t="shared" si="3" ref="I21:I31">F21+H21</f>
        <v>87956.2442304</v>
      </c>
      <c r="J21" s="169">
        <f aca="true" t="shared" si="4" ref="J21:J31">K21*$M$8</f>
        <v>103.74155999999999</v>
      </c>
      <c r="K21" s="170">
        <v>82.1</v>
      </c>
      <c r="L21" s="171" t="s">
        <v>94</v>
      </c>
      <c r="M21" s="26"/>
    </row>
    <row r="22" spans="1:13" ht="52.5" customHeight="1">
      <c r="A22" s="225" t="s">
        <v>16</v>
      </c>
      <c r="B22" s="129" t="s">
        <v>95</v>
      </c>
      <c r="C22" s="130">
        <v>847.84</v>
      </c>
      <c r="D22" s="18" t="s">
        <v>8</v>
      </c>
      <c r="E22" s="131">
        <f>J22*0.7</f>
        <v>2.7685476</v>
      </c>
      <c r="F22" s="132">
        <f t="shared" si="0"/>
        <v>2347.2853971840004</v>
      </c>
      <c r="G22" s="132">
        <f t="shared" si="1"/>
        <v>1.1865204</v>
      </c>
      <c r="H22" s="132">
        <f t="shared" si="2"/>
        <v>1005.979455936</v>
      </c>
      <c r="I22" s="133">
        <f t="shared" si="3"/>
        <v>3353.26485312</v>
      </c>
      <c r="J22" s="172">
        <f t="shared" si="4"/>
        <v>3.9550680000000003</v>
      </c>
      <c r="K22" s="30">
        <v>3.13</v>
      </c>
      <c r="L22" s="173" t="s">
        <v>96</v>
      </c>
      <c r="M22" s="26"/>
    </row>
    <row r="23" spans="1:13" ht="52.5" customHeight="1">
      <c r="A23" s="225" t="s">
        <v>207</v>
      </c>
      <c r="B23" s="129" t="s">
        <v>140</v>
      </c>
      <c r="C23" s="130">
        <f>+ROUND(C22*39.4,2)</f>
        <v>33404.9</v>
      </c>
      <c r="D23" s="18" t="s">
        <v>139</v>
      </c>
      <c r="E23" s="131">
        <f>J23*0</f>
        <v>0</v>
      </c>
      <c r="F23" s="132">
        <f>C23*E23</f>
        <v>0</v>
      </c>
      <c r="G23" s="132">
        <f>J23*1</f>
        <v>1.01088</v>
      </c>
      <c r="H23" s="132">
        <f>C23*G23</f>
        <v>33768.345312000005</v>
      </c>
      <c r="I23" s="133">
        <f>F23+H23</f>
        <v>33768.345312000005</v>
      </c>
      <c r="J23" s="172">
        <f>K23*$M$8</f>
        <v>1.01088</v>
      </c>
      <c r="K23" s="30">
        <v>0.8</v>
      </c>
      <c r="L23" s="173" t="s">
        <v>141</v>
      </c>
      <c r="M23" s="26"/>
    </row>
    <row r="24" spans="1:13" ht="54" customHeight="1">
      <c r="A24" s="225" t="s">
        <v>208</v>
      </c>
      <c r="B24" s="129" t="s">
        <v>142</v>
      </c>
      <c r="C24" s="130">
        <v>724.45</v>
      </c>
      <c r="D24" s="18" t="s">
        <v>8</v>
      </c>
      <c r="E24" s="131">
        <f>J24*0.7</f>
        <v>81.3139236</v>
      </c>
      <c r="F24" s="132">
        <f t="shared" si="0"/>
        <v>58907.87195202</v>
      </c>
      <c r="G24" s="132">
        <f t="shared" si="1"/>
        <v>34.8488244</v>
      </c>
      <c r="H24" s="132">
        <f t="shared" si="2"/>
        <v>25246.23083658</v>
      </c>
      <c r="I24" s="133">
        <f t="shared" si="3"/>
        <v>84154.10278860001</v>
      </c>
      <c r="J24" s="172">
        <f t="shared" si="4"/>
        <v>116.16274800000001</v>
      </c>
      <c r="K24" s="226">
        <v>91.93</v>
      </c>
      <c r="L24" s="173" t="s">
        <v>143</v>
      </c>
      <c r="M24" s="26"/>
    </row>
    <row r="25" spans="1:13" ht="52.5" customHeight="1">
      <c r="A25" s="225" t="s">
        <v>209</v>
      </c>
      <c r="B25" s="129" t="s">
        <v>140</v>
      </c>
      <c r="C25" s="130">
        <f>+ROUND(C24*39.4,2)</f>
        <v>28543.33</v>
      </c>
      <c r="D25" s="18" t="s">
        <v>139</v>
      </c>
      <c r="E25" s="131">
        <f>J25*0</f>
        <v>0</v>
      </c>
      <c r="F25" s="132">
        <f t="shared" si="0"/>
        <v>0</v>
      </c>
      <c r="G25" s="132">
        <f>J25*1</f>
        <v>1.01088</v>
      </c>
      <c r="H25" s="132">
        <f t="shared" si="2"/>
        <v>28853.8814304</v>
      </c>
      <c r="I25" s="133">
        <f t="shared" si="3"/>
        <v>28853.8814304</v>
      </c>
      <c r="J25" s="172">
        <f t="shared" si="4"/>
        <v>1.01088</v>
      </c>
      <c r="K25" s="30">
        <v>0.8</v>
      </c>
      <c r="L25" s="173" t="s">
        <v>141</v>
      </c>
      <c r="M25" s="26"/>
    </row>
    <row r="26" spans="1:13" ht="54.75" customHeight="1">
      <c r="A26" s="225" t="s">
        <v>210</v>
      </c>
      <c r="B26" s="129" t="s">
        <v>97</v>
      </c>
      <c r="C26" s="130">
        <v>724.45</v>
      </c>
      <c r="D26" s="18" t="s">
        <v>8</v>
      </c>
      <c r="E26" s="131">
        <f>J26*0.7</f>
        <v>2.7685476</v>
      </c>
      <c r="F26" s="132">
        <f t="shared" si="0"/>
        <v>2005.6743088200003</v>
      </c>
      <c r="G26" s="132">
        <f t="shared" si="1"/>
        <v>1.1865204</v>
      </c>
      <c r="H26" s="132">
        <f t="shared" si="2"/>
        <v>859.57470378</v>
      </c>
      <c r="I26" s="133">
        <f t="shared" si="3"/>
        <v>2865.2490126000002</v>
      </c>
      <c r="J26" s="172">
        <f t="shared" si="4"/>
        <v>3.9550680000000003</v>
      </c>
      <c r="K26" s="30">
        <v>3.13</v>
      </c>
      <c r="L26" s="173" t="s">
        <v>96</v>
      </c>
      <c r="M26" s="26"/>
    </row>
    <row r="27" spans="1:13" ht="28.5" customHeight="1">
      <c r="A27" s="225" t="s">
        <v>211</v>
      </c>
      <c r="B27" s="129" t="s">
        <v>98</v>
      </c>
      <c r="C27" s="130">
        <v>5050.34</v>
      </c>
      <c r="D27" s="18" t="s">
        <v>14</v>
      </c>
      <c r="E27" s="131">
        <f>J27*0.7</f>
        <v>5.705154</v>
      </c>
      <c r="F27" s="132">
        <f t="shared" si="0"/>
        <v>28812.96745236</v>
      </c>
      <c r="G27" s="132">
        <f t="shared" si="1"/>
        <v>2.445066</v>
      </c>
      <c r="H27" s="132">
        <f t="shared" si="2"/>
        <v>12348.414622440001</v>
      </c>
      <c r="I27" s="133">
        <f t="shared" si="3"/>
        <v>41161.3820748</v>
      </c>
      <c r="J27" s="172">
        <f t="shared" si="4"/>
        <v>8.150220000000001</v>
      </c>
      <c r="K27" s="30">
        <v>6.45</v>
      </c>
      <c r="L27" s="173" t="s">
        <v>99</v>
      </c>
      <c r="M27" s="26"/>
    </row>
    <row r="28" spans="1:13" ht="28.5" customHeight="1">
      <c r="A28" s="225" t="s">
        <v>212</v>
      </c>
      <c r="B28" s="129" t="s">
        <v>100</v>
      </c>
      <c r="C28" s="130">
        <v>5050.34</v>
      </c>
      <c r="D28" s="18" t="s">
        <v>14</v>
      </c>
      <c r="E28" s="131">
        <f>J28*0.7</f>
        <v>1.282554</v>
      </c>
      <c r="F28" s="132">
        <f t="shared" si="0"/>
        <v>6477.33376836</v>
      </c>
      <c r="G28" s="132">
        <f t="shared" si="1"/>
        <v>0.549666</v>
      </c>
      <c r="H28" s="132">
        <f t="shared" si="2"/>
        <v>2776.00018644</v>
      </c>
      <c r="I28" s="133">
        <f t="shared" si="3"/>
        <v>9253.3339548</v>
      </c>
      <c r="J28" s="172">
        <f t="shared" si="4"/>
        <v>1.83222</v>
      </c>
      <c r="K28" s="30">
        <v>1.45</v>
      </c>
      <c r="L28" s="173" t="s">
        <v>101</v>
      </c>
      <c r="M28" s="26"/>
    </row>
    <row r="29" spans="1:13" ht="40.5" customHeight="1">
      <c r="A29" s="225" t="s">
        <v>213</v>
      </c>
      <c r="B29" s="129" t="s">
        <v>102</v>
      </c>
      <c r="C29" s="130">
        <v>252.52</v>
      </c>
      <c r="D29" s="18" t="s">
        <v>8</v>
      </c>
      <c r="E29" s="131">
        <f>J29*0.7</f>
        <v>704.8739879999999</v>
      </c>
      <c r="F29" s="132">
        <f t="shared" si="0"/>
        <v>177994.77944975998</v>
      </c>
      <c r="G29" s="132">
        <f t="shared" si="1"/>
        <v>302.088852</v>
      </c>
      <c r="H29" s="132">
        <f t="shared" si="2"/>
        <v>76283.47690703999</v>
      </c>
      <c r="I29" s="133">
        <f t="shared" si="3"/>
        <v>254278.25635679998</v>
      </c>
      <c r="J29" s="172">
        <f t="shared" si="4"/>
        <v>1006.96284</v>
      </c>
      <c r="K29" s="30">
        <v>796.9</v>
      </c>
      <c r="L29" s="189" t="s">
        <v>138</v>
      </c>
      <c r="M29" s="26"/>
    </row>
    <row r="30" spans="1:13" ht="40.5" customHeight="1">
      <c r="A30" s="225" t="s">
        <v>214</v>
      </c>
      <c r="B30" s="129" t="s">
        <v>140</v>
      </c>
      <c r="C30" s="130">
        <f>+ROUND(C29*16.5,2)</f>
        <v>4166.58</v>
      </c>
      <c r="D30" s="18" t="s">
        <v>139</v>
      </c>
      <c r="E30" s="131">
        <f>J30*0</f>
        <v>0</v>
      </c>
      <c r="F30" s="132">
        <f t="shared" si="0"/>
        <v>0</v>
      </c>
      <c r="G30" s="132">
        <f>J30*1</f>
        <v>1.01088</v>
      </c>
      <c r="H30" s="132">
        <f>C30*G30</f>
        <v>4211.9123904</v>
      </c>
      <c r="I30" s="133">
        <f>F30+H30</f>
        <v>4211.9123904</v>
      </c>
      <c r="J30" s="172">
        <f>K30*$M$8</f>
        <v>1.01088</v>
      </c>
      <c r="K30" s="30">
        <v>0.8</v>
      </c>
      <c r="L30" s="173" t="s">
        <v>141</v>
      </c>
      <c r="M30" s="26"/>
    </row>
    <row r="31" spans="1:13" ht="51" customHeight="1">
      <c r="A31" s="225" t="s">
        <v>215</v>
      </c>
      <c r="B31" s="129" t="s">
        <v>103</v>
      </c>
      <c r="C31" s="130">
        <v>282</v>
      </c>
      <c r="D31" s="18" t="s">
        <v>14</v>
      </c>
      <c r="E31" s="131">
        <f>J31*0.7</f>
        <v>11.401462800000001</v>
      </c>
      <c r="F31" s="132">
        <f t="shared" si="0"/>
        <v>3215.2125096000004</v>
      </c>
      <c r="G31" s="132">
        <f t="shared" si="1"/>
        <v>4.8863412</v>
      </c>
      <c r="H31" s="132">
        <f t="shared" si="2"/>
        <v>1377.9482184</v>
      </c>
      <c r="I31" s="133">
        <f t="shared" si="3"/>
        <v>4593.160728000001</v>
      </c>
      <c r="J31" s="172">
        <f t="shared" si="4"/>
        <v>16.287804</v>
      </c>
      <c r="K31" s="30">
        <v>12.89</v>
      </c>
      <c r="L31" s="173" t="s">
        <v>104</v>
      </c>
      <c r="M31" s="26"/>
    </row>
    <row r="32" spans="1:13" ht="28.5" customHeight="1" thickBot="1">
      <c r="A32" s="168"/>
      <c r="B32" s="56" t="s">
        <v>17</v>
      </c>
      <c r="C32" s="57"/>
      <c r="D32" s="57"/>
      <c r="E32" s="58"/>
      <c r="F32" s="59">
        <f>SUM(F21:F31)</f>
        <v>341330.49579938396</v>
      </c>
      <c r="G32" s="59"/>
      <c r="H32" s="59">
        <f>SUM(H21:H31)</f>
        <v>213118.637332536</v>
      </c>
      <c r="I32" s="60">
        <f>SUM(I21:I31)</f>
        <v>554449.13313192</v>
      </c>
      <c r="J32" s="168"/>
      <c r="K32" s="59"/>
      <c r="L32" s="60"/>
      <c r="M32" s="26"/>
    </row>
    <row r="33" spans="1:13" ht="23.25" customHeight="1" thickBot="1">
      <c r="A33" s="149" t="s">
        <v>216</v>
      </c>
      <c r="B33" s="150" t="s">
        <v>111</v>
      </c>
      <c r="C33" s="151"/>
      <c r="D33" s="64"/>
      <c r="E33" s="64"/>
      <c r="F33" s="174"/>
      <c r="G33" s="64"/>
      <c r="H33" s="174"/>
      <c r="I33" s="175"/>
      <c r="J33" s="158"/>
      <c r="K33" s="159"/>
      <c r="L33" s="160"/>
      <c r="M33" s="24"/>
    </row>
    <row r="34" spans="1:13" ht="28.5" customHeight="1">
      <c r="A34" s="161" t="s">
        <v>217</v>
      </c>
      <c r="B34" s="162" t="s">
        <v>105</v>
      </c>
      <c r="C34" s="163">
        <v>1894.02</v>
      </c>
      <c r="D34" s="164" t="s">
        <v>10</v>
      </c>
      <c r="E34" s="165">
        <f>J34*0.7</f>
        <v>31.7896488</v>
      </c>
      <c r="F34" s="166">
        <f>C34*E34</f>
        <v>60210.23062017599</v>
      </c>
      <c r="G34" s="166">
        <f>J34*0.3</f>
        <v>13.6241352</v>
      </c>
      <c r="H34" s="166">
        <f>C34*G34</f>
        <v>25804.384551503997</v>
      </c>
      <c r="I34" s="167">
        <f>F34+H34</f>
        <v>86014.61517168</v>
      </c>
      <c r="J34" s="169">
        <f>K34*$M$8</f>
        <v>45.413784</v>
      </c>
      <c r="K34" s="170">
        <v>35.94</v>
      </c>
      <c r="L34" s="171" t="s">
        <v>106</v>
      </c>
      <c r="M34" s="26"/>
    </row>
    <row r="35" spans="1:13" ht="28.5" customHeight="1" thickBot="1">
      <c r="A35" s="168"/>
      <c r="B35" s="56" t="s">
        <v>17</v>
      </c>
      <c r="C35" s="57"/>
      <c r="D35" s="57"/>
      <c r="E35" s="58"/>
      <c r="F35" s="59">
        <f>SUM(F34:F34)</f>
        <v>60210.23062017599</v>
      </c>
      <c r="G35" s="59"/>
      <c r="H35" s="59">
        <f>SUM(H34:H34)</f>
        <v>25804.384551503997</v>
      </c>
      <c r="I35" s="60">
        <f>SUM(I34:I34)</f>
        <v>86014.61517168</v>
      </c>
      <c r="J35" s="168"/>
      <c r="K35" s="59"/>
      <c r="L35" s="60"/>
      <c r="M35" s="26"/>
    </row>
    <row r="36" spans="1:13" ht="15">
      <c r="A36" s="73"/>
      <c r="B36" s="144"/>
      <c r="C36" s="145"/>
      <c r="D36" s="37"/>
      <c r="E36" s="146"/>
      <c r="F36" s="147"/>
      <c r="G36" s="147"/>
      <c r="H36" s="147"/>
      <c r="I36" s="148"/>
      <c r="J36" s="155"/>
      <c r="K36" s="156"/>
      <c r="L36" s="157"/>
      <c r="M36" s="26"/>
    </row>
    <row r="37" spans="1:13" ht="15.75" thickBot="1">
      <c r="A37" s="134"/>
      <c r="B37" s="135"/>
      <c r="C37" s="136"/>
      <c r="D37" s="137"/>
      <c r="E37" s="138"/>
      <c r="F37" s="139"/>
      <c r="G37" s="138"/>
      <c r="H37" s="139"/>
      <c r="I37" s="140"/>
      <c r="J37" s="141"/>
      <c r="K37" s="141"/>
      <c r="L37" s="142"/>
      <c r="M37" s="26"/>
    </row>
    <row r="38" spans="1:13" ht="15.75" thickBot="1">
      <c r="A38" s="62"/>
      <c r="B38" s="63" t="s">
        <v>9</v>
      </c>
      <c r="C38" s="64"/>
      <c r="D38" s="64"/>
      <c r="E38" s="65"/>
      <c r="F38" s="66">
        <f>F14+F19+F32+F35</f>
        <v>429174.746883792</v>
      </c>
      <c r="G38" s="66"/>
      <c r="H38" s="66">
        <f>H14+H19+H32+H35</f>
        <v>250766.17351156796</v>
      </c>
      <c r="I38" s="67">
        <f>I14+I19+I32+I35</f>
        <v>707136.9494659236</v>
      </c>
      <c r="J38" s="61"/>
      <c r="K38" s="61"/>
      <c r="L38" s="61"/>
      <c r="M38" s="24"/>
    </row>
    <row r="39" spans="1:13" ht="15">
      <c r="A39" s="238" t="s">
        <v>48</v>
      </c>
      <c r="B39" s="238"/>
      <c r="C39" s="20"/>
      <c r="D39" s="20"/>
      <c r="E39" s="27"/>
      <c r="F39" s="28"/>
      <c r="G39" s="28"/>
      <c r="H39" s="28"/>
      <c r="I39" s="28"/>
      <c r="J39" s="23"/>
      <c r="K39" s="23"/>
      <c r="L39" s="23"/>
      <c r="M39" s="24"/>
    </row>
    <row r="40" spans="1:13" ht="15">
      <c r="A40" s="21"/>
      <c r="B40" s="21"/>
      <c r="C40" s="20"/>
      <c r="D40" s="20"/>
      <c r="E40" s="27"/>
      <c r="F40" s="28"/>
      <c r="G40" s="28"/>
      <c r="H40" s="28"/>
      <c r="I40" s="28"/>
      <c r="J40" s="23"/>
      <c r="K40" s="23"/>
      <c r="L40" s="23"/>
      <c r="M40" s="24"/>
    </row>
    <row r="41" spans="1:13" ht="15">
      <c r="A41" s="7"/>
      <c r="B41" s="7"/>
      <c r="C41" s="33"/>
      <c r="D41" s="20"/>
      <c r="E41" s="27"/>
      <c r="F41" s="28"/>
      <c r="G41" s="28"/>
      <c r="H41" s="28"/>
      <c r="I41" s="28"/>
      <c r="J41" s="23"/>
      <c r="K41" s="23"/>
      <c r="L41" s="23"/>
      <c r="M41" s="24"/>
    </row>
    <row r="43" spans="2:4" ht="15">
      <c r="B43" s="239"/>
      <c r="C43" s="239"/>
      <c r="D43" s="239"/>
    </row>
    <row r="44" spans="2:7" ht="15">
      <c r="B44" s="240" t="s">
        <v>44</v>
      </c>
      <c r="C44" s="240"/>
      <c r="D44" s="240"/>
      <c r="F44" s="228" t="s">
        <v>112</v>
      </c>
      <c r="G44" s="228"/>
    </row>
    <row r="45" spans="2:7" ht="15">
      <c r="B45" s="227" t="s">
        <v>33</v>
      </c>
      <c r="C45" s="227"/>
      <c r="D45" s="227"/>
      <c r="F45" s="229" t="s">
        <v>37</v>
      </c>
      <c r="G45" s="229"/>
    </row>
    <row r="46" spans="2:7" ht="15">
      <c r="B46" s="227" t="s">
        <v>45</v>
      </c>
      <c r="C46" s="227"/>
      <c r="D46" s="227"/>
      <c r="F46" s="227" t="s">
        <v>46</v>
      </c>
      <c r="G46" s="227"/>
    </row>
  </sheetData>
  <sheetProtection/>
  <mergeCells count="24">
    <mergeCell ref="G8:H8"/>
    <mergeCell ref="A2:L2"/>
    <mergeCell ref="A3:L3"/>
    <mergeCell ref="A4:L4"/>
    <mergeCell ref="A5:L5"/>
    <mergeCell ref="A6:L6"/>
    <mergeCell ref="A7:I7"/>
    <mergeCell ref="J7:L7"/>
    <mergeCell ref="B44:D44"/>
    <mergeCell ref="A8:A9"/>
    <mergeCell ref="B8:B9"/>
    <mergeCell ref="C8:C9"/>
    <mergeCell ref="D8:D9"/>
    <mergeCell ref="E8:F8"/>
    <mergeCell ref="B45:D45"/>
    <mergeCell ref="B46:D46"/>
    <mergeCell ref="F44:G44"/>
    <mergeCell ref="F45:G45"/>
    <mergeCell ref="F46:G46"/>
    <mergeCell ref="A1:L1"/>
    <mergeCell ref="I8:I9"/>
    <mergeCell ref="J8:L8"/>
    <mergeCell ref="A39:B39"/>
    <mergeCell ref="B43:D4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GridLines="0" view="pageBreakPreview" zoomScale="90" zoomScaleSheetLayoutView="90" zoomScalePageLayoutView="0" workbookViewId="0" topLeftCell="A1">
      <selection activeCell="B16" sqref="B16"/>
    </sheetView>
  </sheetViews>
  <sheetFormatPr defaultColWidth="9.140625" defaultRowHeight="12.75"/>
  <cols>
    <col min="1" max="1" width="9.140625" style="1" customWidth="1"/>
    <col min="2" max="2" width="23.421875" style="1" customWidth="1"/>
    <col min="3" max="3" width="15.28125" style="1" bestFit="1" customWidth="1"/>
    <col min="4" max="4" width="14.8515625" style="1" bestFit="1" customWidth="1"/>
    <col min="5" max="5" width="8.00390625" style="1" bestFit="1" customWidth="1"/>
    <col min="6" max="6" width="14.8515625" style="1" bestFit="1" customWidth="1"/>
    <col min="7" max="7" width="7.57421875" style="1" bestFit="1" customWidth="1"/>
    <col min="8" max="8" width="14.8515625" style="1" bestFit="1" customWidth="1"/>
    <col min="9" max="9" width="8.57421875" style="1" bestFit="1" customWidth="1"/>
    <col min="10" max="10" width="14.8515625" style="1" bestFit="1" customWidth="1"/>
    <col min="11" max="11" width="8.57421875" style="1" bestFit="1" customWidth="1"/>
    <col min="12" max="16384" width="9.140625" style="1" customWidth="1"/>
  </cols>
  <sheetData>
    <row r="1" spans="1:11" ht="15">
      <c r="A1" s="266" t="s">
        <v>42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</row>
    <row r="2" spans="1:11" ht="15">
      <c r="A2" s="269" t="str">
        <f>Orçamento!A3</f>
        <v>OBRA: PAVIMENTAÇÃO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109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4.25" customHeight="1">
      <c r="A4" s="269" t="s">
        <v>43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1" ht="14.25" customHeight="1">
      <c r="A5" s="272" t="s">
        <v>110</v>
      </c>
      <c r="B5" s="273"/>
      <c r="C5" s="273"/>
      <c r="D5" s="273"/>
      <c r="E5" s="273"/>
      <c r="F5" s="273"/>
      <c r="G5" s="273"/>
      <c r="H5" s="273"/>
      <c r="I5" s="273"/>
      <c r="J5" s="273"/>
      <c r="K5" s="274"/>
    </row>
    <row r="6" spans="1:11" ht="15">
      <c r="A6" s="275" t="s">
        <v>113</v>
      </c>
      <c r="B6" s="276"/>
      <c r="C6" s="276"/>
      <c r="D6" s="276"/>
      <c r="E6" s="276"/>
      <c r="F6" s="276"/>
      <c r="G6" s="276"/>
      <c r="H6" s="276"/>
      <c r="I6" s="276"/>
      <c r="J6" s="276"/>
      <c r="K6" s="277"/>
    </row>
    <row r="7" spans="1:11" ht="15">
      <c r="A7" s="35" t="s">
        <v>0</v>
      </c>
      <c r="B7" s="35" t="s">
        <v>28</v>
      </c>
      <c r="C7" s="35" t="s">
        <v>41</v>
      </c>
      <c r="D7" s="47" t="s">
        <v>114</v>
      </c>
      <c r="E7" s="48" t="s">
        <v>38</v>
      </c>
      <c r="F7" s="47" t="s">
        <v>115</v>
      </c>
      <c r="G7" s="48" t="s">
        <v>38</v>
      </c>
      <c r="H7" s="47" t="s">
        <v>116</v>
      </c>
      <c r="I7" s="48" t="s">
        <v>38</v>
      </c>
      <c r="J7" s="47" t="s">
        <v>4</v>
      </c>
      <c r="K7" s="48" t="s">
        <v>38</v>
      </c>
    </row>
    <row r="8" spans="1:11" ht="15">
      <c r="A8" s="128">
        <v>1</v>
      </c>
      <c r="B8" s="143" t="str">
        <f>Orçamento!B10</f>
        <v>SERVIÇOS INICIAIS</v>
      </c>
      <c r="C8" s="46">
        <f>Orçamento!I14</f>
        <v>30493.520388723602</v>
      </c>
      <c r="D8" s="43">
        <f>C8*E8</f>
        <v>15246.760194361801</v>
      </c>
      <c r="E8" s="44">
        <v>0.5</v>
      </c>
      <c r="F8" s="43">
        <f>C8*G8</f>
        <v>6098.704077744721</v>
      </c>
      <c r="G8" s="44">
        <v>0.2</v>
      </c>
      <c r="H8" s="43">
        <f>C8*I8</f>
        <v>9148.056116617081</v>
      </c>
      <c r="I8" s="44">
        <v>0.3</v>
      </c>
      <c r="J8" s="45">
        <f aca="true" t="shared" si="0" ref="J8:K11">D8+F8+H8</f>
        <v>30493.520388723602</v>
      </c>
      <c r="K8" s="44">
        <f t="shared" si="0"/>
        <v>1</v>
      </c>
    </row>
    <row r="9" spans="1:11" ht="28.5" customHeight="1">
      <c r="A9" s="128">
        <v>2</v>
      </c>
      <c r="B9" s="143" t="str">
        <f>Orçamento!B15</f>
        <v>SERVIÇOS DE TERRAPLENAGEM</v>
      </c>
      <c r="C9" s="46">
        <f>Orçamento!I19</f>
        <v>36179.6807736</v>
      </c>
      <c r="D9" s="43">
        <f>C9*E9</f>
        <v>36179.6807736</v>
      </c>
      <c r="E9" s="44">
        <v>1</v>
      </c>
      <c r="F9" s="43">
        <f>C9*G9</f>
        <v>0</v>
      </c>
      <c r="G9" s="44">
        <v>0</v>
      </c>
      <c r="H9" s="43">
        <f>C9*I9</f>
        <v>0</v>
      </c>
      <c r="I9" s="44">
        <v>0</v>
      </c>
      <c r="J9" s="45">
        <f t="shared" si="0"/>
        <v>36179.6807736</v>
      </c>
      <c r="K9" s="44">
        <f t="shared" si="0"/>
        <v>1</v>
      </c>
    </row>
    <row r="10" spans="1:11" ht="15">
      <c r="A10" s="128">
        <v>3</v>
      </c>
      <c r="B10" s="143" t="str">
        <f>Orçamento!B20</f>
        <v>PAVIMENTAÇÃO</v>
      </c>
      <c r="C10" s="46">
        <f>Orçamento!I32</f>
        <v>554449.13313192</v>
      </c>
      <c r="D10" s="43">
        <f>C10*E10</f>
        <v>194057.196596172</v>
      </c>
      <c r="E10" s="44">
        <v>0.35</v>
      </c>
      <c r="F10" s="43">
        <f>C10*G10</f>
        <v>221779.653252768</v>
      </c>
      <c r="G10" s="44">
        <v>0.4</v>
      </c>
      <c r="H10" s="43">
        <f>C10*I10</f>
        <v>138612.28328298</v>
      </c>
      <c r="I10" s="44">
        <v>0.25</v>
      </c>
      <c r="J10" s="45">
        <f t="shared" si="0"/>
        <v>554449.13313192</v>
      </c>
      <c r="K10" s="44">
        <f t="shared" si="0"/>
        <v>1</v>
      </c>
    </row>
    <row r="11" spans="1:11" ht="17.25" customHeight="1">
      <c r="A11" s="128">
        <v>4</v>
      </c>
      <c r="B11" s="143" t="str">
        <f>Orçamento!B33</f>
        <v>MEIO FIO</v>
      </c>
      <c r="C11" s="46">
        <f>Orçamento!I35</f>
        <v>86014.61517168</v>
      </c>
      <c r="D11" s="43">
        <f>C11*E11</f>
        <v>0</v>
      </c>
      <c r="E11" s="44">
        <v>0</v>
      </c>
      <c r="F11" s="43">
        <f>C11*G11</f>
        <v>25804.384551503997</v>
      </c>
      <c r="G11" s="44">
        <v>0.3</v>
      </c>
      <c r="H11" s="43">
        <f>C11*I11</f>
        <v>60210.23062017599</v>
      </c>
      <c r="I11" s="44">
        <v>0.7</v>
      </c>
      <c r="J11" s="45">
        <f t="shared" si="0"/>
        <v>86014.61517168</v>
      </c>
      <c r="K11" s="44">
        <f t="shared" si="0"/>
        <v>1</v>
      </c>
    </row>
    <row r="12" spans="1:11" ht="15">
      <c r="A12" s="263" t="s">
        <v>4</v>
      </c>
      <c r="B12" s="265"/>
      <c r="C12" s="46">
        <f>SUM(C8:C11)</f>
        <v>707136.9494659236</v>
      </c>
      <c r="D12" s="45"/>
      <c r="E12" s="44"/>
      <c r="F12" s="45"/>
      <c r="G12" s="44"/>
      <c r="H12" s="45"/>
      <c r="I12" s="44"/>
      <c r="J12" s="45"/>
      <c r="K12" s="44"/>
    </row>
    <row r="13" spans="1:11" ht="15">
      <c r="A13" s="263" t="s">
        <v>39</v>
      </c>
      <c r="B13" s="264"/>
      <c r="C13" s="265"/>
      <c r="D13" s="49">
        <f>SUM(D8:D11)</f>
        <v>245483.6375641338</v>
      </c>
      <c r="E13" s="50">
        <f>D13/C12</f>
        <v>0.3471514785778613</v>
      </c>
      <c r="F13" s="49">
        <f>SUM(F8:F11)</f>
        <v>253682.7418820167</v>
      </c>
      <c r="G13" s="50">
        <f>F13/C12</f>
        <v>0.3587462684188892</v>
      </c>
      <c r="H13" s="49">
        <f>SUM(H8:H11)</f>
        <v>207970.5700197731</v>
      </c>
      <c r="I13" s="50">
        <f>H13/C12</f>
        <v>0.29410225300324944</v>
      </c>
      <c r="J13" s="261">
        <f>SUM(J8:J11)</f>
        <v>707136.9494659236</v>
      </c>
      <c r="K13" s="262">
        <f>E13+G13+I13</f>
        <v>0.9999999999999999</v>
      </c>
    </row>
    <row r="14" spans="1:11" ht="15">
      <c r="A14" s="263" t="s">
        <v>40</v>
      </c>
      <c r="B14" s="264"/>
      <c r="C14" s="265"/>
      <c r="D14" s="49">
        <f>SUM(D8:D11)</f>
        <v>245483.6375641338</v>
      </c>
      <c r="E14" s="50">
        <f>E13</f>
        <v>0.3471514785778613</v>
      </c>
      <c r="F14" s="49">
        <f>SUM(D14+F13)</f>
        <v>499166.3794461505</v>
      </c>
      <c r="G14" s="50">
        <f>SUM(E14+G13)</f>
        <v>0.7058977469967505</v>
      </c>
      <c r="H14" s="49">
        <f>SUM(F14+H13)</f>
        <v>707136.9494659236</v>
      </c>
      <c r="I14" s="50">
        <f>SUM(G14+I13)</f>
        <v>0.9999999999999999</v>
      </c>
      <c r="J14" s="261"/>
      <c r="K14" s="262"/>
    </row>
    <row r="15" spans="1:11" ht="15">
      <c r="A15"/>
      <c r="B15"/>
      <c r="C15"/>
      <c r="D15"/>
      <c r="E15"/>
      <c r="F15"/>
      <c r="G15"/>
      <c r="H15"/>
      <c r="I15"/>
      <c r="J15"/>
      <c r="K15"/>
    </row>
    <row r="16" spans="1:11" ht="15">
      <c r="A16" s="7" t="s">
        <v>82</v>
      </c>
      <c r="B16" s="7"/>
      <c r="C16" s="33"/>
      <c r="D16"/>
      <c r="E16"/>
      <c r="F16"/>
      <c r="G16"/>
      <c r="H16"/>
      <c r="I16"/>
      <c r="J16"/>
      <c r="K16"/>
    </row>
    <row r="17" spans="1:11" ht="15">
      <c r="A17" s="9"/>
      <c r="B17" s="10"/>
      <c r="C17" s="79"/>
      <c r="D17"/>
      <c r="E17"/>
      <c r="F17"/>
      <c r="G17"/>
      <c r="H17"/>
      <c r="I17"/>
      <c r="J17"/>
      <c r="K17"/>
    </row>
    <row r="18" spans="1:11" ht="15">
      <c r="A18" s="9"/>
      <c r="B18" s="239"/>
      <c r="C18" s="239"/>
      <c r="D18" s="239"/>
      <c r="E18" s="29"/>
      <c r="F18" s="41"/>
      <c r="G18" s="42"/>
      <c r="H18"/>
      <c r="I18"/>
      <c r="J18"/>
      <c r="K18"/>
    </row>
    <row r="19" spans="1:11" ht="15">
      <c r="A19" s="7"/>
      <c r="B19" s="240" t="s">
        <v>44</v>
      </c>
      <c r="C19" s="240"/>
      <c r="D19" s="240"/>
      <c r="E19" s="29"/>
      <c r="F19" s="228" t="s">
        <v>112</v>
      </c>
      <c r="G19" s="228"/>
      <c r="H19"/>
      <c r="I19"/>
      <c r="J19"/>
      <c r="K19"/>
    </row>
    <row r="20" spans="1:11" ht="15">
      <c r="A20" s="7"/>
      <c r="B20" s="227" t="s">
        <v>33</v>
      </c>
      <c r="C20" s="227"/>
      <c r="D20" s="227"/>
      <c r="E20" s="29"/>
      <c r="F20" s="229" t="s">
        <v>37</v>
      </c>
      <c r="G20" s="229"/>
      <c r="H20"/>
      <c r="I20"/>
      <c r="J20"/>
      <c r="K20"/>
    </row>
    <row r="21" spans="1:11" ht="15">
      <c r="A21" s="7"/>
      <c r="B21" s="227" t="s">
        <v>45</v>
      </c>
      <c r="C21" s="227"/>
      <c r="D21" s="227"/>
      <c r="E21" s="40"/>
      <c r="F21" s="227" t="s">
        <v>46</v>
      </c>
      <c r="G21" s="227"/>
      <c r="H21"/>
      <c r="I21"/>
      <c r="J21"/>
      <c r="K21"/>
    </row>
    <row r="22" spans="2:3" ht="15">
      <c r="B22" s="115"/>
      <c r="C22" s="115"/>
    </row>
    <row r="23" spans="2:3" ht="15">
      <c r="B23" s="123"/>
      <c r="C23" s="123"/>
    </row>
    <row r="24" spans="2:3" ht="15">
      <c r="B24" s="125"/>
      <c r="C24" s="125"/>
    </row>
    <row r="25" spans="2:3" ht="15">
      <c r="B25" s="115"/>
      <c r="C25" s="115"/>
    </row>
    <row r="26" spans="2:3" ht="15">
      <c r="B26" s="115"/>
      <c r="C26" s="115"/>
    </row>
    <row r="27" spans="2:3" ht="15">
      <c r="B27" s="115"/>
      <c r="C27" s="115"/>
    </row>
    <row r="28" spans="2:3" ht="15">
      <c r="B28" s="115"/>
      <c r="C28" s="115"/>
    </row>
    <row r="29" spans="2:3" ht="15">
      <c r="B29" s="122"/>
      <c r="C29" s="115"/>
    </row>
    <row r="30" spans="2:3" ht="15">
      <c r="B30" s="122"/>
      <c r="C30" s="115"/>
    </row>
    <row r="31" spans="2:3" ht="15">
      <c r="B31" s="122"/>
      <c r="C31" s="115"/>
    </row>
    <row r="32" spans="2:3" ht="15">
      <c r="B32" s="122"/>
      <c r="C32" s="115"/>
    </row>
    <row r="33" spans="2:3" ht="15">
      <c r="B33" s="122"/>
      <c r="C33" s="115"/>
    </row>
    <row r="34" spans="2:3" ht="15">
      <c r="B34" s="122"/>
      <c r="C34" s="115"/>
    </row>
    <row r="35" spans="2:3" ht="15">
      <c r="B35" s="122"/>
      <c r="C35" s="115"/>
    </row>
    <row r="36" spans="2:3" ht="15">
      <c r="B36" s="115"/>
      <c r="C36" s="115"/>
    </row>
    <row r="37" spans="2:3" ht="15">
      <c r="B37" s="115"/>
      <c r="C37" s="115"/>
    </row>
    <row r="38" spans="2:3" ht="15">
      <c r="B38" s="115"/>
      <c r="C38" s="125"/>
    </row>
    <row r="39" spans="2:3" ht="15">
      <c r="B39" s="115"/>
      <c r="C39" s="85"/>
    </row>
    <row r="40" spans="2:3" ht="15">
      <c r="B40" s="115"/>
      <c r="C40" s="85"/>
    </row>
    <row r="41" spans="2:3" ht="15">
      <c r="B41" s="115"/>
      <c r="C41" s="85"/>
    </row>
    <row r="42" spans="2:3" ht="15">
      <c r="B42" s="115"/>
      <c r="C42" s="115"/>
    </row>
    <row r="43" spans="2:3" ht="15">
      <c r="B43" s="115"/>
      <c r="C43" s="125"/>
    </row>
    <row r="44" spans="2:3" ht="15">
      <c r="B44" s="115"/>
      <c r="C44" s="124"/>
    </row>
    <row r="45" spans="2:3" ht="15">
      <c r="B45" s="115"/>
      <c r="C45" s="29"/>
    </row>
    <row r="46" spans="2:3" ht="15">
      <c r="B46" s="115"/>
      <c r="C46" s="85"/>
    </row>
  </sheetData>
  <sheetProtection/>
  <mergeCells count="18">
    <mergeCell ref="A12:B12"/>
    <mergeCell ref="A13:C13"/>
    <mergeCell ref="A1:K1"/>
    <mergeCell ref="A2:K2"/>
    <mergeCell ref="A3:K3"/>
    <mergeCell ref="A4:K4"/>
    <mergeCell ref="A5:K5"/>
    <mergeCell ref="A6:K6"/>
    <mergeCell ref="B21:D21"/>
    <mergeCell ref="F21:G21"/>
    <mergeCell ref="B18:D18"/>
    <mergeCell ref="J13:J14"/>
    <mergeCell ref="K13:K14"/>
    <mergeCell ref="A14:C14"/>
    <mergeCell ref="B19:D19"/>
    <mergeCell ref="F19:G19"/>
    <mergeCell ref="B20:D20"/>
    <mergeCell ref="F20:G2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6"/>
  <sheetViews>
    <sheetView showGridLines="0" view="pageBreakPreview" zoomScale="90" zoomScaleSheetLayoutView="90" zoomScalePageLayoutView="0" workbookViewId="0" topLeftCell="A1">
      <selection activeCell="E19" sqref="E19"/>
    </sheetView>
  </sheetViews>
  <sheetFormatPr defaultColWidth="9.140625" defaultRowHeight="12.75"/>
  <cols>
    <col min="1" max="2" width="9.140625" style="1" customWidth="1"/>
    <col min="3" max="3" width="31.28125" style="1" customWidth="1"/>
    <col min="4" max="4" width="9.28125" style="1" bestFit="1" customWidth="1"/>
    <col min="5" max="5" width="9.140625" style="1" customWidth="1"/>
    <col min="6" max="6" width="12.7109375" style="1" bestFit="1" customWidth="1"/>
    <col min="7" max="7" width="14.57421875" style="1" customWidth="1"/>
    <col min="8" max="8" width="12.140625" style="1" customWidth="1"/>
    <col min="9" max="9" width="13.8515625" style="1" customWidth="1"/>
    <col min="10" max="10" width="17.57421875" style="1" bestFit="1" customWidth="1"/>
    <col min="11" max="11" width="11.7109375" style="1" bestFit="1" customWidth="1"/>
    <col min="12" max="12" width="13.8515625" style="1" bestFit="1" customWidth="1"/>
    <col min="13" max="13" width="14.7109375" style="1" bestFit="1" customWidth="1"/>
    <col min="14" max="14" width="15.421875" style="1" bestFit="1" customWidth="1"/>
    <col min="15" max="15" width="13.8515625" style="1" bestFit="1" customWidth="1"/>
    <col min="16" max="16384" width="9.140625" style="1" customWidth="1"/>
  </cols>
  <sheetData>
    <row r="1" ht="15.75" thickBot="1"/>
    <row r="2" spans="2:12" ht="15">
      <c r="B2" s="278" t="s">
        <v>49</v>
      </c>
      <c r="C2" s="279"/>
      <c r="D2" s="279"/>
      <c r="E2" s="280"/>
      <c r="F2" s="51"/>
      <c r="G2" s="51"/>
      <c r="H2" s="51"/>
      <c r="I2" s="51"/>
      <c r="J2" s="51"/>
      <c r="K2" s="51"/>
      <c r="L2" s="51"/>
    </row>
    <row r="3" spans="2:12" ht="15">
      <c r="B3" s="281" t="s">
        <v>50</v>
      </c>
      <c r="C3" s="282" t="s">
        <v>51</v>
      </c>
      <c r="D3" s="87" t="s">
        <v>38</v>
      </c>
      <c r="E3" s="88" t="s">
        <v>38</v>
      </c>
      <c r="F3" s="51"/>
      <c r="G3" s="51"/>
      <c r="H3" s="51"/>
      <c r="I3" s="51"/>
      <c r="J3" s="51"/>
      <c r="K3" s="84"/>
      <c r="L3" s="84"/>
    </row>
    <row r="4" spans="2:12" ht="14.25" customHeight="1">
      <c r="B4" s="281"/>
      <c r="C4" s="282"/>
      <c r="D4" s="86" t="s">
        <v>52</v>
      </c>
      <c r="E4" s="89" t="s">
        <v>53</v>
      </c>
      <c r="F4" s="51"/>
      <c r="G4" s="51"/>
      <c r="H4" s="51"/>
      <c r="I4" s="51"/>
      <c r="J4" s="51"/>
      <c r="K4" s="84"/>
      <c r="L4" s="84"/>
    </row>
    <row r="5" spans="2:12" ht="14.25" customHeight="1">
      <c r="B5" s="90">
        <v>1</v>
      </c>
      <c r="C5" s="91" t="s">
        <v>54</v>
      </c>
      <c r="D5" s="92" t="s">
        <v>55</v>
      </c>
      <c r="E5" s="93">
        <v>4.4</v>
      </c>
      <c r="F5" s="75"/>
      <c r="G5" s="75"/>
      <c r="H5" s="75"/>
      <c r="I5" s="75"/>
      <c r="J5" s="51"/>
      <c r="K5" s="84"/>
      <c r="L5" s="84"/>
    </row>
    <row r="6" spans="2:14" ht="15">
      <c r="B6" s="94" t="s">
        <v>5</v>
      </c>
      <c r="C6" s="95" t="s">
        <v>56</v>
      </c>
      <c r="D6" s="96" t="s">
        <v>55</v>
      </c>
      <c r="E6" s="97" t="s">
        <v>55</v>
      </c>
      <c r="F6" s="76"/>
      <c r="G6" s="76"/>
      <c r="H6" s="76"/>
      <c r="I6" s="76"/>
      <c r="J6" s="76"/>
      <c r="K6" s="80"/>
      <c r="L6" s="81"/>
      <c r="N6" s="4"/>
    </row>
    <row r="7" spans="2:14" ht="15">
      <c r="B7" s="94" t="s">
        <v>13</v>
      </c>
      <c r="C7" s="95" t="s">
        <v>57</v>
      </c>
      <c r="D7" s="96" t="s">
        <v>55</v>
      </c>
      <c r="E7" s="97" t="s">
        <v>55</v>
      </c>
      <c r="F7" s="76"/>
      <c r="G7" s="76"/>
      <c r="H7" s="76"/>
      <c r="I7" s="76"/>
      <c r="J7" s="76"/>
      <c r="K7" s="80"/>
      <c r="L7" s="81"/>
      <c r="N7" s="4"/>
    </row>
    <row r="8" spans="2:14" ht="15">
      <c r="B8" s="94" t="s">
        <v>15</v>
      </c>
      <c r="C8" s="95" t="s">
        <v>58</v>
      </c>
      <c r="D8" s="96" t="s">
        <v>55</v>
      </c>
      <c r="E8" s="97" t="s">
        <v>55</v>
      </c>
      <c r="F8" s="76"/>
      <c r="G8" s="76"/>
      <c r="H8" s="76"/>
      <c r="I8" s="76"/>
      <c r="J8" s="76"/>
      <c r="K8" s="80"/>
      <c r="L8" s="81"/>
      <c r="N8" s="5"/>
    </row>
    <row r="9" spans="2:14" ht="15">
      <c r="B9" s="90">
        <v>2</v>
      </c>
      <c r="C9" s="91" t="s">
        <v>59</v>
      </c>
      <c r="D9" s="98">
        <f>SUM(D10:D12)</f>
        <v>7.65</v>
      </c>
      <c r="E9" s="99">
        <f>ROUND(SUM(E10:E12),2)</f>
        <v>7.65</v>
      </c>
      <c r="F9" s="76"/>
      <c r="G9" s="76"/>
      <c r="H9" s="76"/>
      <c r="I9" s="76"/>
      <c r="J9" s="76"/>
      <c r="K9" s="80"/>
      <c r="L9" s="81"/>
      <c r="N9" s="6"/>
    </row>
    <row r="10" spans="2:14" ht="15">
      <c r="B10" s="94" t="s">
        <v>6</v>
      </c>
      <c r="C10" s="100" t="s">
        <v>60</v>
      </c>
      <c r="D10" s="96">
        <v>4</v>
      </c>
      <c r="E10" s="97">
        <f>ROUND(D10*(1+($C$21/100)),2)</f>
        <v>4</v>
      </c>
      <c r="F10" s="76"/>
      <c r="G10" s="76"/>
      <c r="H10" s="76"/>
      <c r="I10" s="76"/>
      <c r="J10" s="76"/>
      <c r="K10" s="80"/>
      <c r="L10" s="81"/>
      <c r="N10" s="6"/>
    </row>
    <row r="11" spans="2:14" ht="15">
      <c r="B11" s="94" t="s">
        <v>11</v>
      </c>
      <c r="C11" s="95" t="s">
        <v>61</v>
      </c>
      <c r="D11" s="96">
        <v>0.65</v>
      </c>
      <c r="E11" s="97">
        <f>ROUND(D11*(1+($C$21/100)),2)</f>
        <v>0.65</v>
      </c>
      <c r="F11" s="76"/>
      <c r="G11" s="76"/>
      <c r="H11" s="76"/>
      <c r="I11" s="76"/>
      <c r="J11" s="76"/>
      <c r="K11" s="80"/>
      <c r="L11" s="81"/>
      <c r="N11" s="6"/>
    </row>
    <row r="12" spans="2:14" ht="15">
      <c r="B12" s="94" t="s">
        <v>20</v>
      </c>
      <c r="C12" s="95" t="s">
        <v>62</v>
      </c>
      <c r="D12" s="101">
        <v>3</v>
      </c>
      <c r="E12" s="97">
        <f>ROUND(D12*(1+($C$21/100)),2)</f>
        <v>3</v>
      </c>
      <c r="F12" s="76"/>
      <c r="G12" s="76"/>
      <c r="H12" s="76"/>
      <c r="I12" s="76"/>
      <c r="J12" s="76"/>
      <c r="K12" s="80"/>
      <c r="L12" s="81"/>
      <c r="N12" s="6"/>
    </row>
    <row r="13" spans="2:14" ht="15">
      <c r="B13" s="90">
        <v>3</v>
      </c>
      <c r="C13" s="91" t="s">
        <v>63</v>
      </c>
      <c r="D13" s="102" t="s">
        <v>55</v>
      </c>
      <c r="E13" s="99">
        <f>SUM(E14:E16)</f>
        <v>2.4</v>
      </c>
      <c r="F13" s="76"/>
      <c r="G13" s="77"/>
      <c r="H13" s="76"/>
      <c r="I13" s="77"/>
      <c r="J13" s="78"/>
      <c r="K13" s="80"/>
      <c r="L13" s="81"/>
      <c r="N13" s="3"/>
    </row>
    <row r="14" spans="2:15" ht="15">
      <c r="B14" s="94" t="s">
        <v>12</v>
      </c>
      <c r="C14" s="95" t="s">
        <v>64</v>
      </c>
      <c r="D14" s="96"/>
      <c r="E14" s="97">
        <v>0.5</v>
      </c>
      <c r="F14" s="22"/>
      <c r="G14" s="22"/>
      <c r="H14" s="22"/>
      <c r="I14" s="22"/>
      <c r="J14" s="82"/>
      <c r="K14" s="82"/>
      <c r="L14" s="82"/>
      <c r="M14" s="2"/>
      <c r="O14" s="2"/>
    </row>
    <row r="15" spans="2:13" ht="15">
      <c r="B15" s="94" t="s">
        <v>16</v>
      </c>
      <c r="C15" s="95" t="s">
        <v>65</v>
      </c>
      <c r="D15" s="96"/>
      <c r="E15" s="97">
        <v>1.4</v>
      </c>
      <c r="F15" s="22"/>
      <c r="G15" s="82"/>
      <c r="H15" s="22"/>
      <c r="I15" s="82"/>
      <c r="J15" s="82"/>
      <c r="K15" s="82"/>
      <c r="L15" s="82"/>
      <c r="M15" s="2"/>
    </row>
    <row r="16" spans="2:13" ht="15">
      <c r="B16" s="94" t="s">
        <v>16</v>
      </c>
      <c r="C16" s="95" t="s">
        <v>66</v>
      </c>
      <c r="D16" s="96"/>
      <c r="E16" s="97">
        <v>0.5</v>
      </c>
      <c r="F16" s="22"/>
      <c r="G16" s="22"/>
      <c r="H16" s="22"/>
      <c r="I16" s="22"/>
      <c r="J16" s="83"/>
      <c r="K16" s="83"/>
      <c r="L16" s="82"/>
      <c r="M16" s="2"/>
    </row>
    <row r="17" spans="2:12" ht="15">
      <c r="B17" s="90">
        <v>4</v>
      </c>
      <c r="C17" s="91" t="s">
        <v>67</v>
      </c>
      <c r="D17" s="102" t="s">
        <v>55</v>
      </c>
      <c r="E17" s="99">
        <v>1.17</v>
      </c>
      <c r="F17" s="22"/>
      <c r="G17" s="22"/>
      <c r="H17" s="22"/>
      <c r="I17" s="29"/>
      <c r="J17" s="28"/>
      <c r="K17" s="82"/>
      <c r="L17" s="82"/>
    </row>
    <row r="18" spans="2:12" ht="15">
      <c r="B18" s="90">
        <v>5</v>
      </c>
      <c r="C18" s="91" t="s">
        <v>68</v>
      </c>
      <c r="D18" s="98"/>
      <c r="E18" s="99">
        <v>8</v>
      </c>
      <c r="F18" s="85"/>
      <c r="G18" s="85"/>
      <c r="H18" s="22"/>
      <c r="I18" s="29"/>
      <c r="J18" s="29"/>
      <c r="K18" s="22"/>
      <c r="L18" s="22"/>
    </row>
    <row r="19" spans="2:12" ht="15.75" thickBot="1">
      <c r="B19" s="103" t="s">
        <v>55</v>
      </c>
      <c r="C19" s="104" t="s">
        <v>69</v>
      </c>
      <c r="D19" s="105" t="s">
        <v>55</v>
      </c>
      <c r="E19" s="106">
        <f>ROUND((((1+(E5%+E14%+E15%+E16%))*(1+E17%)*(1+E18%)/(1-E9%))-(1))*100,2)</f>
        <v>26.36</v>
      </c>
      <c r="F19" s="85"/>
      <c r="G19" s="85"/>
      <c r="H19" s="22"/>
      <c r="I19" s="29"/>
      <c r="J19" s="29"/>
      <c r="K19" s="22"/>
      <c r="L19" s="22"/>
    </row>
    <row r="20" spans="2:12" ht="15.75" thickBot="1">
      <c r="B20" s="107"/>
      <c r="C20" s="107"/>
      <c r="D20" s="107"/>
      <c r="E20" s="107"/>
      <c r="F20" s="85"/>
      <c r="G20" s="85"/>
      <c r="H20" s="22"/>
      <c r="I20" s="85"/>
      <c r="J20" s="85"/>
      <c r="K20" s="22"/>
      <c r="L20" s="22"/>
    </row>
    <row r="21" spans="2:5" ht="15.75" thickBot="1">
      <c r="B21" s="284" t="s">
        <v>70</v>
      </c>
      <c r="C21" s="285"/>
      <c r="D21" s="108">
        <f>ROUND((((1+((E5+E13)/100))*(1+E17/100)*(1+E18/100))/(1-D9/100)-1)*100,2)</f>
        <v>26.36</v>
      </c>
      <c r="E21" s="109" t="s">
        <v>38</v>
      </c>
    </row>
    <row r="22" spans="2:5" ht="15">
      <c r="B22"/>
      <c r="C22"/>
      <c r="D22"/>
      <c r="E22" s="107"/>
    </row>
    <row r="23" spans="2:5" ht="15.75" thickBot="1">
      <c r="B23" s="110" t="s">
        <v>71</v>
      </c>
      <c r="C23" s="110"/>
      <c r="D23" s="110"/>
      <c r="E23" s="107"/>
    </row>
    <row r="24" spans="2:5" ht="15.75" thickBot="1">
      <c r="B24" s="286" t="s">
        <v>72</v>
      </c>
      <c r="C24" s="287"/>
      <c r="D24" s="287"/>
      <c r="E24" s="288"/>
    </row>
    <row r="25" spans="2:5" ht="15">
      <c r="B25" s="111"/>
      <c r="C25" s="112"/>
      <c r="D25" s="112"/>
      <c r="E25" s="113"/>
    </row>
    <row r="26" spans="2:5" ht="15">
      <c r="B26" s="114"/>
      <c r="C26" s="115"/>
      <c r="D26" s="115"/>
      <c r="E26" s="116"/>
    </row>
    <row r="27" spans="2:5" ht="15">
      <c r="B27" s="114"/>
      <c r="C27" s="115"/>
      <c r="D27" s="115"/>
      <c r="E27" s="116"/>
    </row>
    <row r="28" spans="2:5" ht="15">
      <c r="B28" s="114"/>
      <c r="C28" s="115"/>
      <c r="D28" s="115"/>
      <c r="E28" s="116"/>
    </row>
    <row r="29" spans="2:5" ht="15">
      <c r="B29" s="117" t="s">
        <v>73</v>
      </c>
      <c r="C29" s="115"/>
      <c r="D29" s="115"/>
      <c r="E29" s="116"/>
    </row>
    <row r="30" spans="2:5" ht="15">
      <c r="B30" s="117" t="s">
        <v>74</v>
      </c>
      <c r="C30" s="115"/>
      <c r="D30" s="115"/>
      <c r="E30" s="116"/>
    </row>
    <row r="31" spans="2:5" ht="15">
      <c r="B31" s="117" t="s">
        <v>75</v>
      </c>
      <c r="C31" s="115"/>
      <c r="D31" s="115"/>
      <c r="E31" s="116"/>
    </row>
    <row r="32" spans="2:5" ht="15">
      <c r="B32" s="117" t="s">
        <v>76</v>
      </c>
      <c r="C32" s="115"/>
      <c r="D32" s="115"/>
      <c r="E32" s="116"/>
    </row>
    <row r="33" spans="2:5" ht="15">
      <c r="B33" s="117" t="s">
        <v>77</v>
      </c>
      <c r="C33" s="115"/>
      <c r="D33" s="115"/>
      <c r="E33" s="116"/>
    </row>
    <row r="34" spans="2:5" ht="15">
      <c r="B34" s="117" t="s">
        <v>78</v>
      </c>
      <c r="C34" s="115"/>
      <c r="D34" s="115"/>
      <c r="E34" s="116"/>
    </row>
    <row r="35" spans="2:5" ht="15.75" thickBot="1">
      <c r="B35" s="118" t="s">
        <v>79</v>
      </c>
      <c r="C35" s="119"/>
      <c r="D35" s="119"/>
      <c r="E35" s="120"/>
    </row>
    <row r="36" spans="2:5" ht="15">
      <c r="B36"/>
      <c r="C36"/>
      <c r="D36"/>
      <c r="E36"/>
    </row>
    <row r="37" spans="2:5" ht="15">
      <c r="B37"/>
      <c r="C37"/>
      <c r="D37"/>
      <c r="E37"/>
    </row>
    <row r="38" spans="2:5" ht="15">
      <c r="B38"/>
      <c r="C38" s="283"/>
      <c r="D38" s="283"/>
      <c r="E38"/>
    </row>
    <row r="39" spans="2:5" ht="15">
      <c r="B39"/>
      <c r="C39" s="227" t="s">
        <v>44</v>
      </c>
      <c r="D39" s="227"/>
      <c r="E39" s="29"/>
    </row>
    <row r="40" spans="2:5" ht="15">
      <c r="B40"/>
      <c r="C40" s="227" t="s">
        <v>33</v>
      </c>
      <c r="D40" s="227"/>
      <c r="E40" s="29"/>
    </row>
    <row r="41" spans="2:5" ht="15">
      <c r="B41"/>
      <c r="C41" s="227" t="s">
        <v>45</v>
      </c>
      <c r="D41" s="227"/>
      <c r="E41" s="40"/>
    </row>
    <row r="42" spans="2:5" ht="15">
      <c r="B42"/>
      <c r="C42"/>
      <c r="D42"/>
      <c r="E42"/>
    </row>
    <row r="43" spans="2:5" ht="15">
      <c r="B43"/>
      <c r="C43" s="283"/>
      <c r="D43" s="283"/>
      <c r="E43"/>
    </row>
    <row r="44" spans="2:5" ht="15">
      <c r="B44"/>
      <c r="C44" s="121"/>
      <c r="D44" s="121"/>
      <c r="E44"/>
    </row>
    <row r="45" spans="2:5" ht="15">
      <c r="B45"/>
      <c r="C45" s="229" t="s">
        <v>37</v>
      </c>
      <c r="D45" s="229"/>
      <c r="E45"/>
    </row>
    <row r="46" spans="2:5" ht="15">
      <c r="B46"/>
      <c r="C46" s="227" t="s">
        <v>46</v>
      </c>
      <c r="D46" s="227"/>
      <c r="E46"/>
    </row>
  </sheetData>
  <sheetProtection/>
  <mergeCells count="12">
    <mergeCell ref="C40:D40"/>
    <mergeCell ref="C41:D41"/>
    <mergeCell ref="B2:E2"/>
    <mergeCell ref="B3:B4"/>
    <mergeCell ref="C3:C4"/>
    <mergeCell ref="C43:D43"/>
    <mergeCell ref="C45:D45"/>
    <mergeCell ref="C46:D46"/>
    <mergeCell ref="B21:C21"/>
    <mergeCell ref="B24:E24"/>
    <mergeCell ref="C38:D38"/>
    <mergeCell ref="C39:D3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showGridLines="0" view="pageBreakPreview" zoomScale="90" zoomScaleSheetLayoutView="90" zoomScalePageLayoutView="0" workbookViewId="0" topLeftCell="A13">
      <selection activeCell="N7" sqref="N7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1" t="s">
        <v>25</v>
      </c>
      <c r="B1" s="292"/>
      <c r="C1" s="292"/>
      <c r="D1" s="292"/>
      <c r="E1" s="292"/>
      <c r="F1" s="292"/>
      <c r="G1" s="292"/>
      <c r="H1" s="292"/>
      <c r="I1" s="292"/>
      <c r="J1" s="293"/>
      <c r="K1" s="294"/>
    </row>
    <row r="2" spans="1:11" ht="15.75" thickBot="1">
      <c r="A2" s="291" t="s">
        <v>117</v>
      </c>
      <c r="B2" s="292"/>
      <c r="C2" s="292"/>
      <c r="D2" s="292"/>
      <c r="E2" s="292"/>
      <c r="F2" s="295"/>
      <c r="G2" s="292" t="s">
        <v>129</v>
      </c>
      <c r="H2" s="292"/>
      <c r="I2" s="292"/>
      <c r="J2" s="296" t="s">
        <v>80</v>
      </c>
      <c r="K2" s="299" t="s">
        <v>29</v>
      </c>
    </row>
    <row r="3" spans="1:11" ht="14.25" customHeight="1">
      <c r="A3" s="304" t="s">
        <v>0</v>
      </c>
      <c r="B3" s="302" t="s">
        <v>27</v>
      </c>
      <c r="C3" s="302" t="s">
        <v>1</v>
      </c>
      <c r="D3" s="289" t="s">
        <v>2</v>
      </c>
      <c r="E3" s="306" t="s">
        <v>21</v>
      </c>
      <c r="F3" s="307"/>
      <c r="G3" s="306" t="s">
        <v>22</v>
      </c>
      <c r="H3" s="307"/>
      <c r="I3" s="289" t="s">
        <v>4</v>
      </c>
      <c r="J3" s="297"/>
      <c r="K3" s="300"/>
    </row>
    <row r="4" spans="1:11" ht="14.25" customHeight="1" thickBot="1">
      <c r="A4" s="305"/>
      <c r="B4" s="303"/>
      <c r="C4" s="303"/>
      <c r="D4" s="290"/>
      <c r="E4" s="12" t="s">
        <v>3</v>
      </c>
      <c r="F4" s="13" t="s">
        <v>4</v>
      </c>
      <c r="G4" s="12" t="s">
        <v>3</v>
      </c>
      <c r="H4" s="13" t="s">
        <v>4</v>
      </c>
      <c r="I4" s="290"/>
      <c r="J4" s="298"/>
      <c r="K4" s="301"/>
    </row>
    <row r="5" spans="1:13" ht="38.25">
      <c r="A5" s="14" t="s">
        <v>5</v>
      </c>
      <c r="B5" s="31" t="s">
        <v>136</v>
      </c>
      <c r="C5" s="185">
        <v>2.5548</v>
      </c>
      <c r="D5" s="36" t="s">
        <v>137</v>
      </c>
      <c r="E5" s="30">
        <v>273.29</v>
      </c>
      <c r="F5" s="30">
        <f>C5*E5</f>
        <v>698.2012920000001</v>
      </c>
      <c r="G5" s="30">
        <v>4.43</v>
      </c>
      <c r="H5" s="30">
        <f>C5*G5</f>
        <v>11.317764</v>
      </c>
      <c r="I5" s="34">
        <f>F5+H5</f>
        <v>709.5190560000001</v>
      </c>
      <c r="J5" s="187">
        <v>72962</v>
      </c>
      <c r="K5" s="188">
        <f>E5+G5</f>
        <v>277.72</v>
      </c>
      <c r="M5" s="4"/>
    </row>
    <row r="6" spans="1:13" ht="63.75">
      <c r="A6" s="14" t="s">
        <v>13</v>
      </c>
      <c r="B6" s="31" t="s">
        <v>122</v>
      </c>
      <c r="C6" s="181">
        <v>0.0464</v>
      </c>
      <c r="D6" s="15" t="s">
        <v>123</v>
      </c>
      <c r="E6" s="30">
        <v>217.05</v>
      </c>
      <c r="F6" s="30">
        <f aca="true" t="shared" si="0" ref="F6:F15">C6*E6</f>
        <v>10.07112</v>
      </c>
      <c r="G6" s="30">
        <v>18.31</v>
      </c>
      <c r="H6" s="30">
        <f aca="true" t="shared" si="1" ref="H6:H15">C6*G6</f>
        <v>0.8495839999999999</v>
      </c>
      <c r="I6" s="34">
        <f aca="true" t="shared" si="2" ref="I6:I13">F6+H6</f>
        <v>10.920704</v>
      </c>
      <c r="J6" s="17">
        <v>5835</v>
      </c>
      <c r="K6" s="70">
        <f aca="true" t="shared" si="3" ref="K6:K15">E6+G6</f>
        <v>235.36</v>
      </c>
      <c r="M6" s="4"/>
    </row>
    <row r="7" spans="1:13" ht="63.75">
      <c r="A7" s="14" t="s">
        <v>15</v>
      </c>
      <c r="B7" s="31" t="s">
        <v>124</v>
      </c>
      <c r="C7" s="183">
        <v>0.0949</v>
      </c>
      <c r="D7" s="37" t="s">
        <v>125</v>
      </c>
      <c r="E7" s="30">
        <v>78.47</v>
      </c>
      <c r="F7" s="30">
        <f t="shared" si="0"/>
        <v>7.446803</v>
      </c>
      <c r="G7" s="30">
        <v>18.31</v>
      </c>
      <c r="H7" s="30">
        <f t="shared" si="1"/>
        <v>1.7376189999999998</v>
      </c>
      <c r="I7" s="34">
        <f t="shared" si="2"/>
        <v>9.184422</v>
      </c>
      <c r="J7" s="17">
        <v>5837</v>
      </c>
      <c r="K7" s="70">
        <f t="shared" si="3"/>
        <v>96.78</v>
      </c>
      <c r="M7" s="5"/>
    </row>
    <row r="8" spans="1:13" ht="25.5">
      <c r="A8" s="14" t="s">
        <v>18</v>
      </c>
      <c r="B8" s="31" t="s">
        <v>126</v>
      </c>
      <c r="C8" s="181">
        <v>1.1301</v>
      </c>
      <c r="D8" s="15" t="s">
        <v>127</v>
      </c>
      <c r="E8" s="30">
        <v>4.54</v>
      </c>
      <c r="F8" s="30">
        <f t="shared" si="0"/>
        <v>5.130654000000001</v>
      </c>
      <c r="G8" s="30">
        <v>12.34</v>
      </c>
      <c r="H8" s="30">
        <f t="shared" si="1"/>
        <v>13.945434</v>
      </c>
      <c r="I8" s="34">
        <f>F8+H8-0.01</f>
        <v>19.066088</v>
      </c>
      <c r="J8" s="17">
        <v>88314</v>
      </c>
      <c r="K8" s="70">
        <f t="shared" si="3"/>
        <v>16.88</v>
      </c>
      <c r="M8" s="6"/>
    </row>
    <row r="9" spans="1:13" ht="102">
      <c r="A9" s="14" t="s">
        <v>19</v>
      </c>
      <c r="B9" s="31" t="s">
        <v>128</v>
      </c>
      <c r="C9" s="181">
        <v>0.0464</v>
      </c>
      <c r="D9" s="15" t="s">
        <v>123</v>
      </c>
      <c r="E9" s="30">
        <v>159.09</v>
      </c>
      <c r="F9" s="30">
        <f t="shared" si="0"/>
        <v>7.3817759999999994</v>
      </c>
      <c r="G9" s="30">
        <v>14.77</v>
      </c>
      <c r="H9" s="30">
        <f t="shared" si="1"/>
        <v>0.6853279999999999</v>
      </c>
      <c r="I9" s="34">
        <f>F9+H9-0.01</f>
        <v>8.057103999999999</v>
      </c>
      <c r="J9" s="17">
        <v>91386</v>
      </c>
      <c r="K9" s="70">
        <f t="shared" si="3"/>
        <v>173.86</v>
      </c>
      <c r="M9" s="6"/>
    </row>
    <row r="10" spans="1:13" ht="75.75" customHeight="1">
      <c r="A10" s="14" t="s">
        <v>23</v>
      </c>
      <c r="B10" s="31" t="s">
        <v>130</v>
      </c>
      <c r="C10" s="181">
        <v>0.0805</v>
      </c>
      <c r="D10" s="15" t="s">
        <v>123</v>
      </c>
      <c r="E10" s="30">
        <v>128.26</v>
      </c>
      <c r="F10" s="30">
        <f t="shared" si="0"/>
        <v>10.32493</v>
      </c>
      <c r="G10" s="30">
        <v>13.61</v>
      </c>
      <c r="H10" s="30">
        <f t="shared" si="1"/>
        <v>1.095605</v>
      </c>
      <c r="I10" s="34">
        <f t="shared" si="2"/>
        <v>11.420535000000001</v>
      </c>
      <c r="J10" s="17">
        <v>95631</v>
      </c>
      <c r="K10" s="70">
        <f t="shared" si="3"/>
        <v>141.87</v>
      </c>
      <c r="M10" s="6"/>
    </row>
    <row r="11" spans="1:13" ht="78" customHeight="1">
      <c r="A11" s="38" t="s">
        <v>24</v>
      </c>
      <c r="B11" s="32" t="s">
        <v>131</v>
      </c>
      <c r="C11" s="184">
        <v>0.0607</v>
      </c>
      <c r="D11" s="18" t="s">
        <v>125</v>
      </c>
      <c r="E11" s="39">
        <v>36.74</v>
      </c>
      <c r="F11" s="30">
        <f t="shared" si="0"/>
        <v>2.230118</v>
      </c>
      <c r="G11" s="39">
        <v>13.61</v>
      </c>
      <c r="H11" s="30">
        <f t="shared" si="1"/>
        <v>0.826127</v>
      </c>
      <c r="I11" s="34">
        <f>F11+H11-0.01</f>
        <v>3.0462450000000003</v>
      </c>
      <c r="J11" s="17">
        <v>95632</v>
      </c>
      <c r="K11" s="70">
        <f t="shared" si="3"/>
        <v>50.35</v>
      </c>
      <c r="M11" s="6"/>
    </row>
    <row r="12" spans="1:13" ht="51">
      <c r="A12" s="14" t="s">
        <v>118</v>
      </c>
      <c r="B12" s="31" t="s">
        <v>132</v>
      </c>
      <c r="C12" s="181">
        <v>0.1071</v>
      </c>
      <c r="D12" s="15" t="s">
        <v>125</v>
      </c>
      <c r="E12" s="30">
        <v>16.27</v>
      </c>
      <c r="F12" s="30">
        <f t="shared" si="0"/>
        <v>1.7425169999999999</v>
      </c>
      <c r="G12" s="30">
        <v>19.95</v>
      </c>
      <c r="H12" s="30">
        <f t="shared" si="1"/>
        <v>2.136645</v>
      </c>
      <c r="I12" s="34">
        <f>F12+H12-0.01</f>
        <v>3.869162</v>
      </c>
      <c r="J12" s="176">
        <v>96155</v>
      </c>
      <c r="K12" s="70">
        <f t="shared" si="3"/>
        <v>36.22</v>
      </c>
      <c r="M12" s="6"/>
    </row>
    <row r="13" spans="1:13" ht="51">
      <c r="A13" s="14" t="s">
        <v>119</v>
      </c>
      <c r="B13" s="31" t="s">
        <v>133</v>
      </c>
      <c r="C13" s="181">
        <v>0.0341</v>
      </c>
      <c r="D13" s="15" t="s">
        <v>123</v>
      </c>
      <c r="E13" s="30">
        <v>66.4</v>
      </c>
      <c r="F13" s="30">
        <f t="shared" si="0"/>
        <v>2.26424</v>
      </c>
      <c r="G13" s="30">
        <v>19.95</v>
      </c>
      <c r="H13" s="30">
        <f t="shared" si="1"/>
        <v>0.680295</v>
      </c>
      <c r="I13" s="34">
        <f t="shared" si="2"/>
        <v>2.944535</v>
      </c>
      <c r="J13" s="176">
        <v>96157</v>
      </c>
      <c r="K13" s="70">
        <f t="shared" si="3"/>
        <v>86.35000000000001</v>
      </c>
      <c r="M13" s="6"/>
    </row>
    <row r="14" spans="1:13" ht="78" customHeight="1">
      <c r="A14" s="14" t="s">
        <v>120</v>
      </c>
      <c r="B14" s="31" t="s">
        <v>134</v>
      </c>
      <c r="C14" s="181">
        <v>0.0419</v>
      </c>
      <c r="D14" s="15" t="s">
        <v>123</v>
      </c>
      <c r="E14" s="30">
        <v>128.08</v>
      </c>
      <c r="F14" s="30">
        <f t="shared" si="0"/>
        <v>5.366552</v>
      </c>
      <c r="G14" s="30">
        <v>13.61</v>
      </c>
      <c r="H14" s="30">
        <f t="shared" si="1"/>
        <v>0.570259</v>
      </c>
      <c r="I14" s="34">
        <f>F14+H14-0.01</f>
        <v>5.926811000000001</v>
      </c>
      <c r="J14" s="176">
        <v>96463</v>
      </c>
      <c r="K14" s="70">
        <f t="shared" si="3"/>
        <v>141.69</v>
      </c>
      <c r="M14" s="6"/>
    </row>
    <row r="15" spans="1:13" ht="80.25" customHeight="1">
      <c r="A15" s="14" t="s">
        <v>121</v>
      </c>
      <c r="B15" s="31" t="s">
        <v>135</v>
      </c>
      <c r="C15" s="181">
        <v>0.2406</v>
      </c>
      <c r="D15" s="15" t="s">
        <v>125</v>
      </c>
      <c r="E15" s="30">
        <v>40.25</v>
      </c>
      <c r="F15" s="30">
        <f t="shared" si="0"/>
        <v>9.68415</v>
      </c>
      <c r="G15" s="30">
        <v>13.61</v>
      </c>
      <c r="H15" s="30">
        <f t="shared" si="1"/>
        <v>3.274566</v>
      </c>
      <c r="I15" s="34">
        <f>F15+H15-0.01</f>
        <v>12.948716000000001</v>
      </c>
      <c r="J15" s="176">
        <v>96464</v>
      </c>
      <c r="K15" s="70">
        <f t="shared" si="3"/>
        <v>53.86</v>
      </c>
      <c r="M15" s="6"/>
    </row>
    <row r="16" spans="1:13" ht="15.75" thickBot="1">
      <c r="A16" s="14"/>
      <c r="B16" s="177" t="s">
        <v>47</v>
      </c>
      <c r="C16" s="182"/>
      <c r="D16" s="178"/>
      <c r="E16" s="179"/>
      <c r="F16" s="180">
        <f>SUM(F5:F15)</f>
        <v>759.844152</v>
      </c>
      <c r="G16" s="179"/>
      <c r="H16" s="180">
        <f>SUM(H5:H15)</f>
        <v>37.119226</v>
      </c>
      <c r="I16" s="186">
        <f>SUM(I5:I15)</f>
        <v>796.9033780000001</v>
      </c>
      <c r="J16" s="71"/>
      <c r="K16" s="72"/>
      <c r="M16" s="3"/>
    </row>
    <row r="17" spans="1:14" ht="15">
      <c r="A17" s="7"/>
      <c r="B17" s="9"/>
      <c r="C17" s="7"/>
      <c r="D17" s="7"/>
      <c r="E17" s="7"/>
      <c r="F17" s="7"/>
      <c r="G17" s="7"/>
      <c r="H17" s="7"/>
      <c r="I17" s="8"/>
      <c r="J17" s="8"/>
      <c r="K17" s="8"/>
      <c r="L17" s="2"/>
      <c r="N17" s="2"/>
    </row>
    <row r="18" spans="1:12" ht="15">
      <c r="A18" s="7" t="s">
        <v>82</v>
      </c>
      <c r="B18" s="7"/>
      <c r="C18" s="7"/>
      <c r="D18" s="7"/>
      <c r="E18" s="7"/>
      <c r="F18" s="8"/>
      <c r="G18" s="7"/>
      <c r="H18" s="8"/>
      <c r="I18" s="8"/>
      <c r="J18" s="8"/>
      <c r="K18" s="8"/>
      <c r="L18" s="2"/>
    </row>
    <row r="19" spans="1:12" ht="15">
      <c r="A19" s="9"/>
      <c r="B19" s="10"/>
      <c r="C19" s="10"/>
      <c r="D19" s="7"/>
      <c r="E19" s="7"/>
      <c r="F19" s="7"/>
      <c r="G19" s="7"/>
      <c r="H19" s="7"/>
      <c r="I19" s="16"/>
      <c r="J19" s="16"/>
      <c r="K19" s="8"/>
      <c r="L19" s="2"/>
    </row>
    <row r="20" spans="1:11" ht="15">
      <c r="A20" s="9"/>
      <c r="B20" s="10"/>
      <c r="C20" s="10"/>
      <c r="D20" s="11"/>
      <c r="E20" s="11"/>
      <c r="F20" s="11"/>
      <c r="G20" s="7"/>
      <c r="H20" s="41"/>
      <c r="I20" s="42"/>
      <c r="J20" s="8"/>
      <c r="K20" s="8"/>
    </row>
    <row r="21" spans="1:11" ht="15">
      <c r="A21" s="7"/>
      <c r="B21" s="308"/>
      <c r="C21" s="308"/>
      <c r="D21" s="227" t="s">
        <v>44</v>
      </c>
      <c r="E21" s="227"/>
      <c r="F21" s="227"/>
      <c r="G21" s="7"/>
      <c r="H21" s="229" t="s">
        <v>112</v>
      </c>
      <c r="I21" s="229"/>
      <c r="J21" s="7"/>
      <c r="K21" s="7"/>
    </row>
    <row r="22" spans="1:11" ht="15">
      <c r="A22" s="7"/>
      <c r="B22" s="308"/>
      <c r="C22" s="308"/>
      <c r="D22" s="227" t="s">
        <v>33</v>
      </c>
      <c r="E22" s="227"/>
      <c r="F22" s="227"/>
      <c r="G22" s="7"/>
      <c r="H22" s="229" t="s">
        <v>37</v>
      </c>
      <c r="I22" s="229"/>
      <c r="J22" s="7"/>
      <c r="K22" s="7"/>
    </row>
    <row r="23" spans="1:11" ht="15">
      <c r="A23" s="7"/>
      <c r="B23" s="308"/>
      <c r="C23" s="308"/>
      <c r="D23" s="227" t="s">
        <v>45</v>
      </c>
      <c r="E23" s="227"/>
      <c r="F23" s="227"/>
      <c r="G23" s="7"/>
      <c r="H23" s="227" t="s">
        <v>46</v>
      </c>
      <c r="I23" s="227"/>
      <c r="J23" s="7"/>
      <c r="K23" s="7"/>
    </row>
  </sheetData>
  <sheetProtection/>
  <mergeCells count="21">
    <mergeCell ref="H22:I22"/>
    <mergeCell ref="G3:H3"/>
    <mergeCell ref="B21:C21"/>
    <mergeCell ref="B23:C23"/>
    <mergeCell ref="D23:F23"/>
    <mergeCell ref="H21:I21"/>
    <mergeCell ref="H23:I23"/>
    <mergeCell ref="B3:B4"/>
    <mergeCell ref="D22:F22"/>
    <mergeCell ref="B22:C22"/>
    <mergeCell ref="D21:F21"/>
    <mergeCell ref="I3:I4"/>
    <mergeCell ref="D3:D4"/>
    <mergeCell ref="A1:K1"/>
    <mergeCell ref="A2:F2"/>
    <mergeCell ref="G2:I2"/>
    <mergeCell ref="J2:J4"/>
    <mergeCell ref="K2:K4"/>
    <mergeCell ref="C3:C4"/>
    <mergeCell ref="A3:A4"/>
    <mergeCell ref="E3:F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4">
      <selection activeCell="B6" sqref="B6"/>
    </sheetView>
  </sheetViews>
  <sheetFormatPr defaultColWidth="9.140625" defaultRowHeight="12.75"/>
  <cols>
    <col min="1" max="1" width="7.7109375" style="0" customWidth="1"/>
    <col min="2" max="2" width="48.140625" style="0" customWidth="1"/>
    <col min="3" max="3" width="9.421875" style="0" bestFit="1" customWidth="1"/>
    <col min="4" max="4" width="8.140625" style="0" bestFit="1" customWidth="1"/>
    <col min="5" max="5" width="7.140625" style="0" bestFit="1" customWidth="1"/>
    <col min="6" max="6" width="9.28125" style="0" bestFit="1" customWidth="1"/>
    <col min="7" max="7" width="11.8515625" style="0" customWidth="1"/>
    <col min="8" max="8" width="11.57421875" style="0" bestFit="1" customWidth="1"/>
    <col min="9" max="9" width="13.8515625" style="0" bestFit="1" customWidth="1"/>
    <col min="10" max="10" width="9.00390625" style="0" bestFit="1" customWidth="1"/>
    <col min="11" max="11" width="9.28125" style="0" bestFit="1" customWidth="1"/>
    <col min="12" max="12" width="20.421875" style="0" customWidth="1"/>
    <col min="13" max="13" width="5.140625" style="0" customWidth="1"/>
    <col min="14" max="14" width="13.57421875" style="0" customWidth="1"/>
    <col min="15" max="15" width="6.8515625" style="0" customWidth="1"/>
    <col min="16" max="16" width="9.8515625" style="0" customWidth="1"/>
  </cols>
  <sheetData>
    <row r="1" spans="1:16" ht="12.75">
      <c r="A1" s="312" t="s">
        <v>220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190"/>
      <c r="N1" s="191"/>
      <c r="O1" s="191"/>
      <c r="P1" s="191"/>
    </row>
    <row r="2" spans="1:16" ht="12.75">
      <c r="A2" s="192" t="s">
        <v>144</v>
      </c>
      <c r="B2" s="192"/>
      <c r="C2" s="192"/>
      <c r="D2" s="192"/>
      <c r="E2" s="192"/>
      <c r="F2" s="192"/>
      <c r="G2" s="192"/>
      <c r="H2" s="192"/>
      <c r="I2" s="192"/>
      <c r="J2" s="192"/>
      <c r="K2" s="192" t="s">
        <v>145</v>
      </c>
      <c r="L2" s="193">
        <f>+P9</f>
        <v>45.2</v>
      </c>
      <c r="M2" s="194"/>
      <c r="N2" s="191"/>
      <c r="O2" s="191"/>
      <c r="P2" s="191"/>
    </row>
    <row r="3" spans="1:16" ht="12.75">
      <c r="A3" s="195" t="s">
        <v>146</v>
      </c>
      <c r="B3" s="195" t="s">
        <v>147</v>
      </c>
      <c r="C3" s="195" t="s">
        <v>148</v>
      </c>
      <c r="D3" s="195" t="s">
        <v>149</v>
      </c>
      <c r="E3" s="195" t="s">
        <v>150</v>
      </c>
      <c r="F3" s="195" t="s">
        <v>145</v>
      </c>
      <c r="G3" s="195" t="s">
        <v>151</v>
      </c>
      <c r="H3" s="195" t="s">
        <v>152</v>
      </c>
      <c r="I3" s="195" t="s">
        <v>153</v>
      </c>
      <c r="J3" s="195" t="s">
        <v>154</v>
      </c>
      <c r="K3" s="195" t="s">
        <v>155</v>
      </c>
      <c r="L3" s="195" t="s">
        <v>156</v>
      </c>
      <c r="M3" s="190"/>
      <c r="N3" s="313" t="s">
        <v>157</v>
      </c>
      <c r="O3" s="313"/>
      <c r="P3" s="313"/>
    </row>
    <row r="4" spans="1:16" ht="12.75">
      <c r="A4" s="196">
        <v>84013</v>
      </c>
      <c r="B4" s="197" t="s">
        <v>158</v>
      </c>
      <c r="C4" s="198">
        <v>1</v>
      </c>
      <c r="D4" s="198" t="s">
        <v>159</v>
      </c>
      <c r="E4" s="198" t="s">
        <v>160</v>
      </c>
      <c r="F4" s="198">
        <f aca="true" t="shared" si="0" ref="F4:F13">+$L$2*2</f>
        <v>90.4</v>
      </c>
      <c r="G4" s="198">
        <v>60</v>
      </c>
      <c r="H4" s="198">
        <f aca="true" t="shared" si="1" ref="H4:H13">+F4/G4</f>
        <v>1.5066666666666668</v>
      </c>
      <c r="I4" s="199">
        <v>218.49</v>
      </c>
      <c r="J4" s="198">
        <f aca="true" t="shared" si="2" ref="J4:J13">+ROUND(I4*H4*C4,2)</f>
        <v>329.19</v>
      </c>
      <c r="K4" s="200">
        <v>89876</v>
      </c>
      <c r="L4" s="201" t="s">
        <v>161</v>
      </c>
      <c r="M4" s="190"/>
      <c r="N4" s="202" t="s">
        <v>162</v>
      </c>
      <c r="O4" s="202" t="s">
        <v>163</v>
      </c>
      <c r="P4" s="202">
        <v>63.2</v>
      </c>
    </row>
    <row r="5" spans="1:16" ht="51">
      <c r="A5" s="196">
        <v>5678</v>
      </c>
      <c r="B5" s="203" t="s">
        <v>164</v>
      </c>
      <c r="C5" s="198">
        <v>1</v>
      </c>
      <c r="D5" s="198" t="s">
        <v>159</v>
      </c>
      <c r="E5" s="198" t="s">
        <v>160</v>
      </c>
      <c r="F5" s="198">
        <f t="shared" si="0"/>
        <v>90.4</v>
      </c>
      <c r="G5" s="198">
        <v>60</v>
      </c>
      <c r="H5" s="198">
        <f t="shared" si="1"/>
        <v>1.5066666666666668</v>
      </c>
      <c r="I5" s="199">
        <f>I4</f>
        <v>218.49</v>
      </c>
      <c r="J5" s="198">
        <f t="shared" si="2"/>
        <v>329.19</v>
      </c>
      <c r="K5" s="200">
        <v>89876</v>
      </c>
      <c r="L5" s="201" t="s">
        <v>161</v>
      </c>
      <c r="M5" s="190"/>
      <c r="N5" s="202" t="s">
        <v>167</v>
      </c>
      <c r="O5" s="202" t="s">
        <v>163</v>
      </c>
      <c r="P5" s="202">
        <v>21.2</v>
      </c>
    </row>
    <row r="6" spans="1:16" ht="25.5">
      <c r="A6" s="196">
        <v>37514</v>
      </c>
      <c r="B6" s="204" t="s">
        <v>165</v>
      </c>
      <c r="C6" s="198">
        <v>1</v>
      </c>
      <c r="D6" s="198" t="s">
        <v>159</v>
      </c>
      <c r="E6" s="198" t="s">
        <v>160</v>
      </c>
      <c r="F6" s="198">
        <f t="shared" si="0"/>
        <v>90.4</v>
      </c>
      <c r="G6" s="198">
        <v>60</v>
      </c>
      <c r="H6" s="198">
        <f t="shared" si="1"/>
        <v>1.5066666666666668</v>
      </c>
      <c r="I6" s="199">
        <f>I5</f>
        <v>218.49</v>
      </c>
      <c r="J6" s="198">
        <f t="shared" si="2"/>
        <v>329.19</v>
      </c>
      <c r="K6" s="200">
        <v>89876</v>
      </c>
      <c r="L6" s="201" t="s">
        <v>161</v>
      </c>
      <c r="M6" s="205"/>
      <c r="N6" s="202" t="s">
        <v>200</v>
      </c>
      <c r="O6" s="202" t="s">
        <v>163</v>
      </c>
      <c r="P6" s="202">
        <v>51.2</v>
      </c>
    </row>
    <row r="7" spans="1:16" ht="25.5">
      <c r="A7" s="196">
        <v>13726</v>
      </c>
      <c r="B7" s="203" t="s">
        <v>166</v>
      </c>
      <c r="C7" s="198">
        <v>1</v>
      </c>
      <c r="D7" s="198" t="s">
        <v>159</v>
      </c>
      <c r="E7" s="198" t="s">
        <v>160</v>
      </c>
      <c r="F7" s="198">
        <f t="shared" si="0"/>
        <v>90.4</v>
      </c>
      <c r="G7" s="198">
        <v>60</v>
      </c>
      <c r="H7" s="198">
        <f t="shared" si="1"/>
        <v>1.5066666666666668</v>
      </c>
      <c r="I7" s="199">
        <f>I6</f>
        <v>218.49</v>
      </c>
      <c r="J7" s="198">
        <f t="shared" si="2"/>
        <v>329.19</v>
      </c>
      <c r="K7" s="200">
        <v>89876</v>
      </c>
      <c r="L7" s="201" t="s">
        <v>161</v>
      </c>
      <c r="M7" s="205"/>
      <c r="N7" s="202"/>
      <c r="O7" s="202"/>
      <c r="P7" s="202"/>
    </row>
    <row r="8" spans="1:16" ht="38.25">
      <c r="A8" s="196">
        <v>5843</v>
      </c>
      <c r="B8" s="206" t="s">
        <v>168</v>
      </c>
      <c r="C8" s="198">
        <v>1</v>
      </c>
      <c r="D8" s="198" t="s">
        <v>159</v>
      </c>
      <c r="E8" s="198" t="s">
        <v>160</v>
      </c>
      <c r="F8" s="198">
        <f t="shared" si="0"/>
        <v>90.4</v>
      </c>
      <c r="G8" s="198">
        <v>60</v>
      </c>
      <c r="H8" s="198">
        <f t="shared" si="1"/>
        <v>1.5066666666666668</v>
      </c>
      <c r="I8" s="199">
        <f>I7</f>
        <v>218.49</v>
      </c>
      <c r="J8" s="198">
        <f t="shared" si="2"/>
        <v>329.19</v>
      </c>
      <c r="K8" s="200">
        <v>89876</v>
      </c>
      <c r="L8" s="201" t="s">
        <v>161</v>
      </c>
      <c r="M8" s="205"/>
      <c r="N8" s="207"/>
      <c r="O8" s="207"/>
      <c r="P8" s="207"/>
    </row>
    <row r="9" spans="1:16" ht="51">
      <c r="A9" s="196">
        <v>73436</v>
      </c>
      <c r="B9" s="206" t="s">
        <v>169</v>
      </c>
      <c r="C9" s="198">
        <v>1</v>
      </c>
      <c r="D9" s="198" t="s">
        <v>159</v>
      </c>
      <c r="E9" s="198" t="s">
        <v>160</v>
      </c>
      <c r="F9" s="198">
        <f t="shared" si="0"/>
        <v>90.4</v>
      </c>
      <c r="G9" s="198">
        <v>60</v>
      </c>
      <c r="H9" s="198">
        <f t="shared" si="1"/>
        <v>1.5066666666666668</v>
      </c>
      <c r="I9" s="199">
        <f>I7</f>
        <v>218.49</v>
      </c>
      <c r="J9" s="198">
        <f t="shared" si="2"/>
        <v>329.19</v>
      </c>
      <c r="K9" s="200">
        <v>89876</v>
      </c>
      <c r="L9" s="201" t="s">
        <v>161</v>
      </c>
      <c r="M9" s="205"/>
      <c r="N9" s="314" t="s">
        <v>170</v>
      </c>
      <c r="O9" s="314"/>
      <c r="P9" s="202">
        <f>+ROUND(AVERAGE(P4:P7),2)</f>
        <v>45.2</v>
      </c>
    </row>
    <row r="10" spans="1:16" ht="63.75">
      <c r="A10" s="196">
        <v>5684</v>
      </c>
      <c r="B10" s="206" t="s">
        <v>171</v>
      </c>
      <c r="C10" s="198">
        <v>1</v>
      </c>
      <c r="D10" s="198" t="s">
        <v>159</v>
      </c>
      <c r="E10" s="198" t="s">
        <v>160</v>
      </c>
      <c r="F10" s="198">
        <f t="shared" si="0"/>
        <v>90.4</v>
      </c>
      <c r="G10" s="198">
        <v>60</v>
      </c>
      <c r="H10" s="198">
        <f t="shared" si="1"/>
        <v>1.5066666666666668</v>
      </c>
      <c r="I10" s="199">
        <f>I8</f>
        <v>218.49</v>
      </c>
      <c r="J10" s="198">
        <f t="shared" si="2"/>
        <v>329.19</v>
      </c>
      <c r="K10" s="200">
        <v>89876</v>
      </c>
      <c r="L10" s="201" t="s">
        <v>161</v>
      </c>
      <c r="M10" s="205"/>
      <c r="N10" s="191"/>
      <c r="O10" s="191"/>
      <c r="P10" s="191"/>
    </row>
    <row r="11" spans="1:16" ht="51">
      <c r="A11" s="196">
        <v>5932</v>
      </c>
      <c r="B11" s="206" t="s">
        <v>172</v>
      </c>
      <c r="C11" s="198">
        <v>1</v>
      </c>
      <c r="D11" s="198" t="s">
        <v>159</v>
      </c>
      <c r="E11" s="198" t="s">
        <v>160</v>
      </c>
      <c r="F11" s="198">
        <f t="shared" si="0"/>
        <v>90.4</v>
      </c>
      <c r="G11" s="198">
        <v>60</v>
      </c>
      <c r="H11" s="198">
        <f t="shared" si="1"/>
        <v>1.5066666666666668</v>
      </c>
      <c r="I11" s="199">
        <f>I9</f>
        <v>218.49</v>
      </c>
      <c r="J11" s="198">
        <f t="shared" si="2"/>
        <v>329.19</v>
      </c>
      <c r="K11" s="200">
        <v>89876</v>
      </c>
      <c r="L11" s="201" t="s">
        <v>161</v>
      </c>
      <c r="M11" s="205"/>
      <c r="N11" s="191"/>
      <c r="O11" s="191"/>
      <c r="P11" s="191"/>
    </row>
    <row r="12" spans="1:16" ht="51">
      <c r="A12" s="196">
        <v>5871</v>
      </c>
      <c r="B12" s="206" t="s">
        <v>173</v>
      </c>
      <c r="C12" s="198">
        <v>1</v>
      </c>
      <c r="D12" s="198" t="s">
        <v>159</v>
      </c>
      <c r="E12" s="198" t="s">
        <v>160</v>
      </c>
      <c r="F12" s="198">
        <f t="shared" si="0"/>
        <v>90.4</v>
      </c>
      <c r="G12" s="198">
        <v>60</v>
      </c>
      <c r="H12" s="198">
        <f t="shared" si="1"/>
        <v>1.5066666666666668</v>
      </c>
      <c r="I12" s="199">
        <f>I10</f>
        <v>218.49</v>
      </c>
      <c r="J12" s="198">
        <f t="shared" si="2"/>
        <v>329.19</v>
      </c>
      <c r="K12" s="200">
        <v>89876</v>
      </c>
      <c r="L12" s="201" t="s">
        <v>161</v>
      </c>
      <c r="M12" s="205"/>
      <c r="N12" s="191"/>
      <c r="O12" s="191"/>
      <c r="P12" s="191"/>
    </row>
    <row r="13" spans="1:16" ht="51">
      <c r="A13" s="196">
        <v>5835</v>
      </c>
      <c r="B13" s="206" t="s">
        <v>174</v>
      </c>
      <c r="C13" s="198">
        <v>1</v>
      </c>
      <c r="D13" s="198" t="s">
        <v>159</v>
      </c>
      <c r="E13" s="198" t="s">
        <v>160</v>
      </c>
      <c r="F13" s="198">
        <f t="shared" si="0"/>
        <v>90.4</v>
      </c>
      <c r="G13" s="198">
        <v>60</v>
      </c>
      <c r="H13" s="198">
        <f t="shared" si="1"/>
        <v>1.5066666666666668</v>
      </c>
      <c r="I13" s="199">
        <f>I11</f>
        <v>218.49</v>
      </c>
      <c r="J13" s="198">
        <f t="shared" si="2"/>
        <v>329.19</v>
      </c>
      <c r="K13" s="200">
        <v>89876</v>
      </c>
      <c r="L13" s="201" t="s">
        <v>161</v>
      </c>
      <c r="M13" s="205"/>
      <c r="N13" s="191"/>
      <c r="O13" s="191"/>
      <c r="P13" s="191"/>
    </row>
    <row r="14" spans="1:16" ht="12.75">
      <c r="A14" s="309" t="s">
        <v>175</v>
      </c>
      <c r="B14" s="309"/>
      <c r="C14" s="309"/>
      <c r="D14" s="309"/>
      <c r="E14" s="309"/>
      <c r="F14" s="309"/>
      <c r="G14" s="309"/>
      <c r="H14" s="309"/>
      <c r="I14" s="309"/>
      <c r="J14" s="208">
        <f>+SUM(J4:J13)</f>
        <v>3291.9</v>
      </c>
      <c r="K14" s="192"/>
      <c r="L14" s="192"/>
      <c r="M14" s="190"/>
      <c r="N14" s="191"/>
      <c r="O14" s="191"/>
      <c r="P14" s="191"/>
    </row>
    <row r="15" spans="1:16" ht="12.75">
      <c r="A15" s="195" t="s">
        <v>146</v>
      </c>
      <c r="B15" s="195" t="s">
        <v>176</v>
      </c>
      <c r="C15" s="195" t="s">
        <v>148</v>
      </c>
      <c r="D15" s="195" t="s">
        <v>149</v>
      </c>
      <c r="E15" s="195" t="s">
        <v>150</v>
      </c>
      <c r="F15" s="195" t="s">
        <v>145</v>
      </c>
      <c r="G15" s="195" t="s">
        <v>151</v>
      </c>
      <c r="H15" s="195" t="s">
        <v>152</v>
      </c>
      <c r="I15" s="195" t="s">
        <v>153</v>
      </c>
      <c r="J15" s="195" t="s">
        <v>154</v>
      </c>
      <c r="K15" s="195" t="s">
        <v>155</v>
      </c>
      <c r="L15" s="195" t="s">
        <v>156</v>
      </c>
      <c r="M15" s="190"/>
      <c r="N15" s="191"/>
      <c r="O15" s="191"/>
      <c r="P15" s="191"/>
    </row>
    <row r="16" spans="1:16" ht="25.5">
      <c r="A16" s="196">
        <v>7018</v>
      </c>
      <c r="B16" s="206" t="s">
        <v>177</v>
      </c>
      <c r="C16" s="198">
        <v>1</v>
      </c>
      <c r="D16" s="198" t="s">
        <v>159</v>
      </c>
      <c r="E16" s="198" t="s">
        <v>160</v>
      </c>
      <c r="F16" s="198">
        <f>+$L$2</f>
        <v>45.2</v>
      </c>
      <c r="G16" s="198">
        <v>60</v>
      </c>
      <c r="H16" s="198">
        <f>+F16/G16</f>
        <v>0.7533333333333334</v>
      </c>
      <c r="I16" s="199">
        <v>141.23</v>
      </c>
      <c r="J16" s="198">
        <f>+ROUND(I16*H16*C16,2)</f>
        <v>106.39</v>
      </c>
      <c r="K16" s="209">
        <v>6259</v>
      </c>
      <c r="L16" s="210" t="s">
        <v>178</v>
      </c>
      <c r="M16" s="205"/>
      <c r="N16" s="191"/>
      <c r="O16" s="191"/>
      <c r="P16" s="191"/>
    </row>
    <row r="17" spans="1:16" ht="25.5">
      <c r="A17" s="196">
        <v>6259</v>
      </c>
      <c r="B17" s="206" t="s">
        <v>179</v>
      </c>
      <c r="C17" s="198">
        <v>1</v>
      </c>
      <c r="D17" s="198" t="s">
        <v>159</v>
      </c>
      <c r="E17" s="198" t="s">
        <v>160</v>
      </c>
      <c r="F17" s="198">
        <f>+$L$2</f>
        <v>45.2</v>
      </c>
      <c r="G17" s="198">
        <v>60</v>
      </c>
      <c r="H17" s="198">
        <f>+F17/G17</f>
        <v>0.7533333333333334</v>
      </c>
      <c r="I17" s="199">
        <f>I16</f>
        <v>141.23</v>
      </c>
      <c r="J17" s="198">
        <f>+ROUND(I17*H17*C17,2)</f>
        <v>106.39</v>
      </c>
      <c r="K17" s="209">
        <v>6259</v>
      </c>
      <c r="L17" s="210" t="s">
        <v>178</v>
      </c>
      <c r="M17" s="190"/>
      <c r="N17" s="191"/>
      <c r="O17" s="191"/>
      <c r="P17" s="191"/>
    </row>
    <row r="18" spans="1:16" ht="12.75">
      <c r="A18" s="196">
        <v>6259</v>
      </c>
      <c r="B18" s="206" t="s">
        <v>180</v>
      </c>
      <c r="C18" s="198">
        <v>3</v>
      </c>
      <c r="D18" s="198" t="s">
        <v>159</v>
      </c>
      <c r="E18" s="198" t="s">
        <v>160</v>
      </c>
      <c r="F18" s="198">
        <f>+$L$2</f>
        <v>45.2</v>
      </c>
      <c r="G18" s="198">
        <v>60</v>
      </c>
      <c r="H18" s="198">
        <f>+F18/G18</f>
        <v>0.7533333333333334</v>
      </c>
      <c r="I18" s="199">
        <f>I16</f>
        <v>141.23</v>
      </c>
      <c r="J18" s="198">
        <f>+ROUND(I18*H18*C18,2)</f>
        <v>319.18</v>
      </c>
      <c r="K18" s="209">
        <v>6259</v>
      </c>
      <c r="L18" s="210" t="s">
        <v>178</v>
      </c>
      <c r="M18" s="190"/>
      <c r="N18" s="191"/>
      <c r="O18" s="191"/>
      <c r="P18" s="191"/>
    </row>
    <row r="19" spans="1:16" ht="12.75">
      <c r="A19" s="309" t="s">
        <v>181</v>
      </c>
      <c r="B19" s="309"/>
      <c r="C19" s="309"/>
      <c r="D19" s="309"/>
      <c r="E19" s="309"/>
      <c r="F19" s="309"/>
      <c r="G19" s="309"/>
      <c r="H19" s="309"/>
      <c r="I19" s="309"/>
      <c r="J19" s="208">
        <f>+SUM(J16:J18)</f>
        <v>531.96</v>
      </c>
      <c r="K19" s="192"/>
      <c r="L19" s="192"/>
      <c r="M19" s="190"/>
      <c r="N19" s="191"/>
      <c r="O19" s="191"/>
      <c r="P19" s="191"/>
    </row>
    <row r="20" spans="1:16" ht="12.75">
      <c r="A20" s="211"/>
      <c r="B20" s="21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190"/>
      <c r="N20" s="191"/>
      <c r="O20" s="191"/>
      <c r="P20" s="191"/>
    </row>
    <row r="21" spans="1:16" ht="12.75">
      <c r="A21" s="310" t="s">
        <v>182</v>
      </c>
      <c r="B21" s="310"/>
      <c r="C21" s="310"/>
      <c r="D21" s="310"/>
      <c r="E21" s="310"/>
      <c r="F21" s="310"/>
      <c r="G21" s="310"/>
      <c r="H21" s="310"/>
      <c r="I21" s="310"/>
      <c r="J21" s="208">
        <f>+SUM(J19,J14)</f>
        <v>3823.86</v>
      </c>
      <c r="K21" s="311"/>
      <c r="L21" s="311"/>
      <c r="M21" s="190"/>
      <c r="N21" s="191"/>
      <c r="O21" s="191"/>
      <c r="P21" s="191"/>
    </row>
    <row r="22" spans="1:16" ht="12.7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4"/>
      <c r="O22" s="215"/>
      <c r="P22" s="215"/>
    </row>
  </sheetData>
  <sheetProtection/>
  <mergeCells count="7">
    <mergeCell ref="A14:I14"/>
    <mergeCell ref="A19:I19"/>
    <mergeCell ref="A21:I21"/>
    <mergeCell ref="K21:L21"/>
    <mergeCell ref="A1:L1"/>
    <mergeCell ref="N3:P3"/>
    <mergeCell ref="N9:O9"/>
  </mergeCells>
  <printOptions/>
  <pageMargins left="0.511811024" right="0.511811024" top="0.787401575" bottom="0.787401575" header="0.31496062" footer="0.3149606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9.00390625" style="0" customWidth="1"/>
    <col min="2" max="3" width="5.140625" style="0" bestFit="1" customWidth="1"/>
    <col min="4" max="4" width="16.8515625" style="0" customWidth="1"/>
    <col min="5" max="5" width="16.28125" style="0" bestFit="1" customWidth="1"/>
    <col min="6" max="6" width="13.57421875" style="0" customWidth="1"/>
  </cols>
  <sheetData>
    <row r="1" spans="1:6" ht="12.75">
      <c r="A1" s="315" t="s">
        <v>183</v>
      </c>
      <c r="B1" s="315"/>
      <c r="C1" s="315"/>
      <c r="D1" s="315"/>
      <c r="E1" s="315"/>
      <c r="F1" s="315"/>
    </row>
    <row r="2" spans="1:6" ht="12.75">
      <c r="A2" s="310" t="s">
        <v>184</v>
      </c>
      <c r="B2" s="310"/>
      <c r="C2" s="310"/>
      <c r="D2" s="310"/>
      <c r="E2" s="310"/>
      <c r="F2" s="310"/>
    </row>
    <row r="3" spans="1:6" ht="12.75">
      <c r="A3" s="216" t="s">
        <v>185</v>
      </c>
      <c r="B3" s="216" t="s">
        <v>186</v>
      </c>
      <c r="C3" s="216" t="s">
        <v>187</v>
      </c>
      <c r="D3" s="216" t="s">
        <v>188</v>
      </c>
      <c r="E3" s="216" t="s">
        <v>189</v>
      </c>
      <c r="F3" s="216" t="s">
        <v>190</v>
      </c>
    </row>
    <row r="4" spans="1:6" ht="12.75">
      <c r="A4" s="217" t="s">
        <v>191</v>
      </c>
      <c r="B4" s="218"/>
      <c r="C4" s="218"/>
      <c r="D4" s="219"/>
      <c r="E4" s="217"/>
      <c r="F4" s="217"/>
    </row>
    <row r="5" spans="1:6" ht="12.75">
      <c r="A5" s="217" t="s">
        <v>192</v>
      </c>
      <c r="B5" s="218">
        <v>1</v>
      </c>
      <c r="C5" s="218">
        <v>3</v>
      </c>
      <c r="D5" s="218">
        <v>17744.88</v>
      </c>
      <c r="E5" s="220">
        <v>0.1</v>
      </c>
      <c r="F5" s="218">
        <f>B5*C5*D5*E5</f>
        <v>5323.464</v>
      </c>
    </row>
    <row r="6" spans="1:6" ht="12.75">
      <c r="A6" s="217" t="s">
        <v>193</v>
      </c>
      <c r="B6" s="218">
        <v>1</v>
      </c>
      <c r="C6" s="218">
        <v>3</v>
      </c>
      <c r="D6" s="218">
        <v>7462.49</v>
      </c>
      <c r="E6" s="220">
        <v>0.3333</v>
      </c>
      <c r="F6" s="218">
        <f>B6*C6*D6*E6</f>
        <v>7461.743751</v>
      </c>
    </row>
    <row r="7" spans="1:6" ht="12.75">
      <c r="A7" s="217" t="s">
        <v>194</v>
      </c>
      <c r="B7" s="218">
        <v>1</v>
      </c>
      <c r="C7" s="218">
        <v>3</v>
      </c>
      <c r="D7" s="218">
        <v>3438.23</v>
      </c>
      <c r="E7" s="220">
        <v>0.1</v>
      </c>
      <c r="F7" s="218">
        <f>B7*C7*D7*E7</f>
        <v>1031.469</v>
      </c>
    </row>
    <row r="8" spans="1:6" ht="12.75">
      <c r="A8" s="217" t="s">
        <v>195</v>
      </c>
      <c r="B8" s="218">
        <v>1</v>
      </c>
      <c r="C8" s="218">
        <v>3</v>
      </c>
      <c r="D8" s="221">
        <v>6474.6</v>
      </c>
      <c r="E8" s="220">
        <v>0.1</v>
      </c>
      <c r="F8" s="218">
        <f>B8*C8*D8*E8</f>
        <v>1942.3800000000003</v>
      </c>
    </row>
    <row r="9" spans="1:6" ht="12.75">
      <c r="A9" s="217" t="s">
        <v>196</v>
      </c>
      <c r="B9" s="218">
        <v>1</v>
      </c>
      <c r="C9" s="218">
        <v>3</v>
      </c>
      <c r="D9" s="221">
        <v>6465.8</v>
      </c>
      <c r="E9" s="220">
        <v>0.1</v>
      </c>
      <c r="F9" s="218">
        <f>B9*C9*D9*E9</f>
        <v>1939.7400000000002</v>
      </c>
    </row>
    <row r="10" spans="1:6" ht="12.75">
      <c r="A10" s="217"/>
      <c r="B10" s="218"/>
      <c r="C10" s="218"/>
      <c r="D10" s="218"/>
      <c r="E10" s="218"/>
      <c r="F10" s="218"/>
    </row>
    <row r="11" spans="1:6" ht="12.75">
      <c r="A11" s="216" t="s">
        <v>197</v>
      </c>
      <c r="B11" s="218"/>
      <c r="C11" s="217"/>
      <c r="D11" s="217"/>
      <c r="E11" s="217"/>
      <c r="F11" s="208">
        <f>SUM(F5:F10)</f>
        <v>17698.796751</v>
      </c>
    </row>
    <row r="12" spans="1:6" ht="12.75">
      <c r="A12" s="217"/>
      <c r="B12" s="218"/>
      <c r="C12" s="217"/>
      <c r="D12" s="222" t="s">
        <v>198</v>
      </c>
      <c r="E12" s="222"/>
      <c r="F12" s="208">
        <f>F11</f>
        <v>17698.796751</v>
      </c>
    </row>
    <row r="13" spans="1:6" ht="12.75">
      <c r="A13" s="207" t="s">
        <v>199</v>
      </c>
      <c r="B13" s="207"/>
      <c r="C13" s="207"/>
      <c r="D13" s="207"/>
      <c r="E13" s="207"/>
      <c r="F13" s="207"/>
    </row>
    <row r="14" spans="1:6" ht="12.75">
      <c r="A14" s="207"/>
      <c r="B14" s="207"/>
      <c r="C14" s="207"/>
      <c r="D14" s="207"/>
      <c r="E14" s="207"/>
      <c r="F14" s="207"/>
    </row>
  </sheetData>
  <sheetProtection/>
  <mergeCells count="2">
    <mergeCell ref="A1:F1"/>
    <mergeCell ref="A2:F2"/>
  </mergeCells>
  <printOptions/>
  <pageMargins left="1.1023622047244095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Ivan</cp:lastModifiedBy>
  <cp:lastPrinted>2019-12-12T12:03:52Z</cp:lastPrinted>
  <dcterms:created xsi:type="dcterms:W3CDTF">2004-03-03T01:33:17Z</dcterms:created>
  <dcterms:modified xsi:type="dcterms:W3CDTF">2019-12-12T12:15:50Z</dcterms:modified>
  <cp:category/>
  <cp:version/>
  <cp:contentType/>
  <cp:contentStatus/>
</cp:coreProperties>
</file>