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115" tabRatio="726" activeTab="0"/>
  </bookViews>
  <sheets>
    <sheet name="ORÇAMENTO" sheetId="1" r:id="rId1"/>
    <sheet name="CRONOGRAMA " sheetId="2" r:id="rId2"/>
  </sheets>
  <definedNames>
    <definedName name="_xlnm.Print_Area" localSheetId="1">'CRONOGRAMA '!$A$1:$S$45</definedName>
    <definedName name="_xlnm.Print_Area" localSheetId="0">'ORÇAMENTO'!$A$1:$L$154</definedName>
  </definedNames>
  <calcPr fullCalcOnLoad="1"/>
</workbook>
</file>

<file path=xl/sharedStrings.xml><?xml version="1.0" encoding="utf-8"?>
<sst xmlns="http://schemas.openxmlformats.org/spreadsheetml/2006/main" count="350" uniqueCount="247">
  <si>
    <t>SERVICOS</t>
  </si>
  <si>
    <t>UN</t>
  </si>
  <si>
    <t>QUANT.</t>
  </si>
  <si>
    <t>MATERIAL</t>
  </si>
  <si>
    <t>C.TOTAL</t>
  </si>
  <si>
    <t>% ITEM</t>
  </si>
  <si>
    <t>Unitar.</t>
  </si>
  <si>
    <t>Total</t>
  </si>
  <si>
    <t>MO+MAT</t>
  </si>
  <si>
    <t>m²</t>
  </si>
  <si>
    <t>m</t>
  </si>
  <si>
    <t>m³</t>
  </si>
  <si>
    <t>un</t>
  </si>
  <si>
    <t>CRONOGRAMA FISICO-FINANCEIRO</t>
  </si>
  <si>
    <t>TOTAL</t>
  </si>
  <si>
    <t>1º. MES</t>
  </si>
  <si>
    <t>%</t>
  </si>
  <si>
    <t>2º. MES</t>
  </si>
  <si>
    <t>3º. MES</t>
  </si>
  <si>
    <t>4º. MES</t>
  </si>
  <si>
    <t>5º. MES</t>
  </si>
  <si>
    <t>6º. MES</t>
  </si>
  <si>
    <t>% TOTAL</t>
  </si>
  <si>
    <t>C.UNIT</t>
  </si>
  <si>
    <t>1.1</t>
  </si>
  <si>
    <t>2.1</t>
  </si>
  <si>
    <t>2.2</t>
  </si>
  <si>
    <t>3.1</t>
  </si>
  <si>
    <t>3.2</t>
  </si>
  <si>
    <t>PRELIMINARES</t>
  </si>
  <si>
    <t>5.1</t>
  </si>
  <si>
    <t>5.2</t>
  </si>
  <si>
    <t>6.1</t>
  </si>
  <si>
    <t>7.1</t>
  </si>
  <si>
    <t>7.2</t>
  </si>
  <si>
    <t>7.3</t>
  </si>
  <si>
    <t>7.4</t>
  </si>
  <si>
    <t>REVESTIMENTOS</t>
  </si>
  <si>
    <t>9.1</t>
  </si>
  <si>
    <t>9.2</t>
  </si>
  <si>
    <t>10.1</t>
  </si>
  <si>
    <t>PINTURA</t>
  </si>
  <si>
    <t xml:space="preserve">INSTALACOES HIDROSANITÁRIAS </t>
  </si>
  <si>
    <t>MÃO DE OBRA</t>
  </si>
  <si>
    <t>ITEM</t>
  </si>
  <si>
    <t>8.1</t>
  </si>
  <si>
    <t xml:space="preserve">TOTAL DO ORÇAMENTO </t>
  </si>
  <si>
    <t>SERVIÇOS</t>
  </si>
  <si>
    <t>PAREDES E DIVISÓRIAS</t>
  </si>
  <si>
    <t>10.2</t>
  </si>
  <si>
    <t>CODIGO SINAPI</t>
  </si>
  <si>
    <t>DIVERSOS</t>
  </si>
  <si>
    <t>5.3</t>
  </si>
  <si>
    <t>10.3</t>
  </si>
  <si>
    <t>inid.</t>
  </si>
  <si>
    <t>73850/001</t>
  </si>
  <si>
    <t>APLICAÇÃO MANUAL DE PINTURA COM TINTA LÁTEX ACRÍLICA EM TETO, DUAS DEMÃOS. AF_06/2014</t>
  </si>
  <si>
    <t>APLICAÇÃO MANUAL DE PINTURA COM TINTA LÁTEX ACRÍLICA EM PAREDES, DUAS DEMÃOS. AF_06/2014</t>
  </si>
  <si>
    <t>73739/001</t>
  </si>
  <si>
    <t>PINTURA ESMALTE ACETINADO EM MADEIRA, DUAS DEMAOS</t>
  </si>
  <si>
    <t>Unid.</t>
  </si>
  <si>
    <t>TUBO PVC, SERIE NORMAL, ESGOTO PREDIAL, DN 40 MM, FORNECIDO E INSTALADO EM RAMAL DE DESCARGA OU RAMAL DE ESGOTO SANITÁRIO. AF_12/2014</t>
  </si>
  <si>
    <t>2.3</t>
  </si>
  <si>
    <t>2.4</t>
  </si>
  <si>
    <t>4.1</t>
  </si>
  <si>
    <t>4.2</t>
  </si>
  <si>
    <t>5.4</t>
  </si>
  <si>
    <t>Paulo Francisco Morando</t>
  </si>
  <si>
    <t>Eng° Civil CREA-RS 53.822-D</t>
  </si>
  <si>
    <t>LIMPEZA FINAL DA OBRA  E ACABAMENTOS</t>
  </si>
  <si>
    <t>9.3</t>
  </si>
  <si>
    <t>9.4</t>
  </si>
  <si>
    <t>9.5</t>
  </si>
  <si>
    <t>Daclaro que os encargos sociais atendem aos percentuais estabelecidos no SINAPI para o estado do RS para mão de obra horista e mensalista</t>
  </si>
  <si>
    <t>EXTINTOR DE PQS 4KG - FORNECIMENTO E INSTALACAO</t>
  </si>
  <si>
    <t>7.5</t>
  </si>
  <si>
    <t>7.6</t>
  </si>
  <si>
    <t>10.4</t>
  </si>
  <si>
    <t>TUBO, PVC, SOLDÁVEL, DN 25MM, INSTALADO EM RAMAL OU SUB-RAMAL DE ÁGUA - FORNECIMENTO E INSTALAÇÃO. AF_12/2014</t>
  </si>
  <si>
    <t>REGISTRO DE PRESSÃO BRUTO, LATÃO, ROSCÁVEL, 1", COM ACABAMENTO E CANOPLA CROMADOS. FORNECIDO E INSTALADO EM RAMAL DE ÁGUA. AF_12/2014</t>
  </si>
  <si>
    <t>PONTO DE TOMADA INCLUINDO TOMADA 20A/250V, CAIXA ELÉTRICA ELETRODUTO, CABO, RASGO, QUEBRA E CHUMBAMENTO. AF_01/2016</t>
  </si>
  <si>
    <t>PONTO DE ILUMINAÇÃO INCLUINDO INTERRUPTOR SIMPLES, CAIXA ELÉTRICA, ELETRODUTO, CABO, RASGO, QUEBRA E CHUMBAMENTO (EXCLUINDO LUMI
NÁRIA E LÂMPADA). AF_01/2016</t>
  </si>
  <si>
    <t>8.2</t>
  </si>
  <si>
    <t>8.3</t>
  </si>
  <si>
    <t>INSTALAÇÕES ELÉTRICAS</t>
  </si>
  <si>
    <t>3.3</t>
  </si>
  <si>
    <t>SOLEIRA EM GRANITO, LARGURA 15 CM, ESPESSURA 2,0 CM. AF_06/2018</t>
  </si>
  <si>
    <t>8.4</t>
  </si>
  <si>
    <t>8.5</t>
  </si>
  <si>
    <t>8.6</t>
  </si>
  <si>
    <t>ELETRODUTO FLEXÍVEL CORRUGADO, PVC, DN 25 MM (3/4"), PARA CIRCUITOS TERMINAIS, INSTALADO EM FORRO - FORNECIMENTO E INSTALAÇÃO. AF_12/2015</t>
  </si>
  <si>
    <t>ELETRODUTO FLEXÍVEL CORRUGADO, PVC, DN 32 MM (1"), PARA CIRCUITOS TERMINAIS, INSTALADO EM FORRO - FORNECIMENTO E INSTALAÇÃO. AF_12/2015</t>
  </si>
  <si>
    <t>CABO DE COBRE FLEXÍVEL ISOLADO, 2,5 MM², ANTI-CHAMA 0,6/1,0 KV, PARA CIRCUITOS TERMINAIS - FORNECIMENTO E INSTALAÇÃO. AF_12/2015</t>
  </si>
  <si>
    <t>CABO DE COBRE FLEXÍVEL ISOLADO, 4 MM², ANTI-CHAMA 450/750 V, PARA CIRCUITOS TERMINAIS - FORNECIMENTO E INSTALAÇÃO. AF_12/2015</t>
  </si>
  <si>
    <t>8.7</t>
  </si>
  <si>
    <t>PLANILHA ORÇAMENTÁRIA</t>
  </si>
  <si>
    <t xml:space="preserve">Obra: Ampliação Creche </t>
  </si>
  <si>
    <t>Local: Rua Adão Trindade, Centro, Coxilha - RS</t>
  </si>
  <si>
    <t>VALORES COM REFERENCIA SINAPI - NÃO DESONERADO</t>
  </si>
  <si>
    <t>DATA BASE: 19/12/2018</t>
  </si>
  <si>
    <t>74077/003</t>
  </si>
  <si>
    <t>LOCACAO CONVENCIONAL DE OBRA, ATRAVÉS DE GABARITO DE TABUAS CORRIDAS PONTALETADAS, COM REAPROVEITAMENTO DE 3 VEZES.</t>
  </si>
  <si>
    <t>ESCAVAÇÃO MANUAL DE VALA COM PROFUNDIDADE MENOR OU IGUAL A 1,30 M</t>
  </si>
  <si>
    <t>2.</t>
  </si>
  <si>
    <t>3.</t>
  </si>
  <si>
    <t>1.</t>
  </si>
  <si>
    <t>FUNDAÇÕES</t>
  </si>
  <si>
    <t>CONCRETO CICLOPICO FCK=10MPA 30% PEDRA DE MAO INCLUSIVE LANCAMENTO (vala com dimensôes de 50x60 cm - profundidade x largura)</t>
  </si>
  <si>
    <t>SUPER ESTRUTURA</t>
  </si>
  <si>
    <t>Kg</t>
  </si>
  <si>
    <t>3.4</t>
  </si>
  <si>
    <t>CONCRETO FCK = 30MPA, TRAÇO 1:2,1:2,5 (CIMENTO/ AREIA MÉDIA/ BRITA 1)  - PREPARO MECÂNICO COM BETONEIRA 400 L. AF_07/2016</t>
  </si>
  <si>
    <t>2.5</t>
  </si>
  <si>
    <t>2.6</t>
  </si>
  <si>
    <t>2.7</t>
  </si>
  <si>
    <t>ALVENARIA EM TIJOLO CERAMICO MACICO 5X10X20CM 1 VEZ (ESPESSURA 20CM),ASSENTADO COM ARGAMASSA TRACO 1:2:8 (CIMENTO, CAL E AREIA)</t>
  </si>
  <si>
    <t>FABRICAÇÃO DE FÔRMA PARA VIGAS, COM MADEIRA SERRADA, E = 25 MM. AF_12/2015( Domens~oes das vigas de 20x30 cm - Largura x Altura)</t>
  </si>
  <si>
    <t>FABRICAÇÃO DE FÔRMA PARA PILARES E ESTRUTURAS SIMILARES, EM MADEIRA SERRADA, E=25 MM. AF_12/2015 (16 unidade 15x30 cm)</t>
  </si>
  <si>
    <t>ARMAÇÃO DE PILAR OU VIGA DE UMA ESTRUTURA CONVENCIONAL DE CONCRETO ARMADO EM UMA EDIFÍCAÇÃO TÉRREA OU SOBRADO UTILIZANDO AÇO CA-60 DE 5.0 MM - MONTAGEM. AF_12/2015 (densidade 0,154 kg/ml a cada 15 cm)</t>
  </si>
  <si>
    <t>ARMAÇÃO DE PILAR OU VIGA DE UMA ESTRUTURA CONVENCIONAL DE CONCRETO ARMADO EM UMA EDIFÍCAÇÃO TÉRREA OU SOBRADO UTILIZANDO AÇO CA-50 DE 12.5 MM - MONTAGEM. AF_12/2015  (densidade 0,963 kg/ml, uso de 4 barras por viga)</t>
  </si>
  <si>
    <t>ARMAÇÃO DE PILAR OU VIGA DE UMA ESTRUTURA CONVENCIONAL DE CONCRETO ARMADO EM UMA EDIFÍCAÇÃO TÉRREA OU SOBRADO UTILIZANDO AÇO CA-60 DE 5.0 MM - MONTAGEM. AF_12/2015  (densidade 0,154 kg/ml a cada 15 cm)</t>
  </si>
  <si>
    <t>ARMAÇÃO DE PILAR OU VIGA DE UMA ESTRUTURA CONVENCIONAL DE CONCRETO ARMADO EM UMA EDIFÍCAÇÃO TÉRREA OU SOBRADO UTILIZANDO AÇO CA-50 DE 12.5 MM - MONTAGEM. AF_12/2015 (densidade 0,963 kg/ml, uso de 4 barras por pilar)</t>
  </si>
  <si>
    <t>4.</t>
  </si>
  <si>
    <t>VERGA MOLDADA IN LOCO EM CONCRETO PARA JANELAS COM MAIS DE 1,5 M DE VÃO. AF_03/2016</t>
  </si>
  <si>
    <t>ml</t>
  </si>
  <si>
    <t>RESPALDO</t>
  </si>
  <si>
    <t>5.</t>
  </si>
  <si>
    <t>FABRICAÇÃO DE FÔRMA PARA VIGAS, COM MADEIRA SERRADA, E = 25 MM. AF_12/2015( Domensões das vigas de 15x30 cm - Largura x Altura)</t>
  </si>
  <si>
    <t>ARMAÇÃO DE PILAR OU VIGA DE UMA ESTRUTURA CONVENCIONAL DE CONCRETO ARMADO EM UMA EDIFÍCAÇÃO TÉRREA OU SOBRADO UTILIZANDO AÇO CA-50 DE 10,0 MM - MONTAGEM. AF_12/2015 (densidade 0,617 kg/ml, uso de 4 barras por pilar)</t>
  </si>
  <si>
    <t>ALVENARIA DE VEDAÇÃO E PLATIBANDA DE BLOCOS CERÂMICOS FURADOS NA VERTICAL DE 14X19X39CM (ESPESSURA 14CM) DE PAREDES COM ÁREA LÍQUIDA MAIOR OU IGUAL A 6M² SEM VÃOS E ARGAMASSA DE ASSENTAMENTO COM PREPARO EM BETONEIRA. AF_06/2014</t>
  </si>
  <si>
    <t>6.</t>
  </si>
  <si>
    <t>74202/001</t>
  </si>
  <si>
    <t>LAJE PRE-MOLDADA P/FORRO, SOBRECARGA 100KG/M2, VAOS ATE 3,50M/E=8CM, C/LAJOTAS E CAP.C/CONC FCK=20MPA, 3CM, INTER-EIXO 38CM, C/ESCORAMENTO (REAPR.3X) E FERRAGEM NEGATIVA</t>
  </si>
  <si>
    <t>FORRO E BEIRAL</t>
  </si>
  <si>
    <t>7.</t>
  </si>
  <si>
    <t>COBERTURA</t>
  </si>
  <si>
    <t>TRAMA DE MADEIRA COMPOSTA POR RIPAS, CAIBROS E TERÇAS PARA TELHADOS DE MAIS QUE 2 ÁGUAS PARA TELHA DE ENCAIXE DE CERÂMICA OU DE CONCRETO, INCLUSO TRANSPORTE VERTICAL. AF_12/2015</t>
  </si>
  <si>
    <t>TELHAMENTO COM TELHA CERÂMICA DE ENCAIXE, TIPO PORTUGUESA, COM MAIS DE 2 ÁGUAS, INCLUSO TRANSPORTE VERTICAL. AF_06/2016</t>
  </si>
  <si>
    <t>RUFO EM CHAPA DE AÇO GALVANIZADO NÚMERO 24, CORTE DE 25 CM, INCLUSO TRANSPORTE VERTICAL. AF_06/2016</t>
  </si>
  <si>
    <t>CALHA EM CHAPA DE AÇO GALVANIZADO NÚMERO 24, DESENVOLVIMENTO DE 50 CM, INCLUSO TRANSPORTE VERTICAL. AF_06/2016</t>
  </si>
  <si>
    <t>TUBO PVC, SÉRIE R, ÁGUA PLUVIAL, DN 150 MM, FORNECIDO E INSTALADO EM CONDUTORES VERTICAIS DE ÁGUAS PLUVIAIS. AF_12/2014</t>
  </si>
  <si>
    <t>74166/001</t>
  </si>
  <si>
    <t>CAIXA DE INSPEÇÃO EM CONCRETO PRÉ-MOLDADO DN 60CM COM TAMPA H= 60CM -FORNECIMENTO E INSTALACAO</t>
  </si>
  <si>
    <t>TUBO PVC DN 100 MM PARA DRENAGEM - FORNECIMENTO E INSTALACAO</t>
  </si>
  <si>
    <t>7.7</t>
  </si>
  <si>
    <t>7.8</t>
  </si>
  <si>
    <t>8.</t>
  </si>
  <si>
    <t>CHAPISCO APLICADO EM ALVENARIAS E PLATIBANDAS (COM PRESENÇA DE VÃOS) E ESTRUTURAS DE CONCRETO DE FACHADA, COM COLHER DE PEDREIRO.  ARGAMASSA TRAÇO 1:3 COM PREPARO EM BETONEIRA 400L. AF_06/2014</t>
  </si>
  <si>
    <t>CHAPISCO APLICADO NO TETO, COM ROLO PARA TEXTURA ACRÍLICA. ARGAMASSA TRAÇO 1:4 E EMULSÃO POLIMÉRICA (ADESIVO) COM PREPARO EM BETONEIRA 400L. AF_06/2014</t>
  </si>
  <si>
    <t>REVESTIMENTO CERÂMICO PARA PAREDES INTERNAS COM PLACAS TIPO ESMALTADA EXTRA DE DIMENSÕES 20X20 CM APLICADAS EM AMBIENTES DE ÁREA MENOR QUE 5M² A MEIA ALTURA DAS PAREDES. AF_06/2014</t>
  </si>
  <si>
    <t>EMBOÇO OU MASSA ÚNICA, EXTERNO, EM ARGAMASSA TRAÇO 1:2:8, PREPARO MANUAL, APLICADA MANUALMENTE EM PANOS DE FACHADA COM PRESENÇA DE VÃOS, ESPESSURA DE 25 MM. AF_06/2014</t>
  </si>
  <si>
    <t>REBOCO COM PASTA DE CIMENTO PORTLAND, ESPESSURA 1MM</t>
  </si>
  <si>
    <t>9.</t>
  </si>
  <si>
    <t>PISOS</t>
  </si>
  <si>
    <t>PISO EM CONCRETO 20 MPA PREPARO MECANICO, ESPESSURA 7CM, INCLUSO JUNTAS DE DILATACAO EM MADEIRA</t>
  </si>
  <si>
    <t>PISO EM GRANILITE, MARMORITE OU GRANITINA ESPESSURA 8 MM, INCLUSO JUNTAS DE DILATACAO PLASTICAS</t>
  </si>
  <si>
    <t>RODAPE EM MARMORITE, ALTURA 10CM</t>
  </si>
  <si>
    <t>10.</t>
  </si>
  <si>
    <t>ABERTURAS</t>
  </si>
  <si>
    <t>KIT DE PORTA DE MADEIRA PARA PINTURA, SEMI-OCA (LEVE OU MÉDIA), PADRÃO MÉDIO, 80X210CM, ESPESSURA DE 3,5CM, ITENS INCLUSOS: DOBRADIÇAS, MONTAGEM E INSTALAÇÃO DO BATENTE, FECHADURA COM EXECUÇÃO DO FURO - FORNECI
MENTO E INSTALAÇÃO. AF_08/2015 - CONFOMRE PROJETO</t>
  </si>
  <si>
    <t>JANELA DE AÇO DE CORRER, 4 FOLHAS, FIXAÇÃO COM PARAFUSO SOBRE CONTRA MARCO, SEM VIDROS, PADRONIZADA. AF_07/2016</t>
  </si>
  <si>
    <t>VIDRO TEMPERADO INCOLOR, ESPESSURA 6MM, FORNECIMENTO E INSTALACAO, INCLUSIVE MASSA PARA VEDACAO</t>
  </si>
  <si>
    <t>PEITORIL EM MARMORE BRANCO, LARGURA DE 25CM, ASSENTADO COM ARGAMASSA TRACO 1:3 (CIMENTO E AREIA MEDIA), PREPARO MANUAL DA ARGAMASSA PEITORIL DE CONCRETO</t>
  </si>
  <si>
    <t>11.</t>
  </si>
  <si>
    <t>11.1</t>
  </si>
  <si>
    <t>11.2</t>
  </si>
  <si>
    <t>73924/001</t>
  </si>
  <si>
    <t>PINTURA ESMALTE ALTO BRILHO, DUAS DEMAOS, SOBRE SUPERFICIE METALICA</t>
  </si>
  <si>
    <t>11.3</t>
  </si>
  <si>
    <t>11.4</t>
  </si>
  <si>
    <t>11.5</t>
  </si>
  <si>
    <t>11.6</t>
  </si>
  <si>
    <t>12.</t>
  </si>
  <si>
    <t>12.1</t>
  </si>
  <si>
    <t>12.2</t>
  </si>
  <si>
    <t>12.3</t>
  </si>
  <si>
    <t>12.4</t>
  </si>
  <si>
    <t>12.5</t>
  </si>
  <si>
    <t>12.6</t>
  </si>
  <si>
    <t>73953/008</t>
  </si>
  <si>
    <t>12.7</t>
  </si>
  <si>
    <t>LUMINÁRIAS TIPO CALHA, DE SOBREPOR, COM REATORES DE PARTIDA RÁPIDA E LÂMPADAS FLUORESCENTES 2X2X36W, COMPLETAS, FORNECIMENTO E INSTALAÇÃO</t>
  </si>
  <si>
    <t>13.</t>
  </si>
  <si>
    <t>13.1</t>
  </si>
  <si>
    <t>13.2</t>
  </si>
  <si>
    <t>13.3</t>
  </si>
  <si>
    <t>13.4</t>
  </si>
  <si>
    <t>CUBA DE EMBUTIR OVAL EM LOUÇA BRANCA, 35 X 50CM OU EQUIVALENTE, INCLUSO VÁLVULA E SIFÃO TIPO GARRAFA EM METAL CROMADO - FORNECIMENTO E INSTALAÇÃO. AF_12/2013</t>
  </si>
  <si>
    <t xml:space="preserve">BANCADA EM GRANIRO CINZA, COM TESTEIRA DE 10 CM E SAIA DE 15 CM, APIOADO SOBRE MÃO FRANCESA, CONFOMRE PROJETO </t>
  </si>
  <si>
    <t>13.5</t>
  </si>
  <si>
    <t>7.9</t>
  </si>
  <si>
    <t>CUMEEIRA E ESPIGÃO PARA TELHA CERÂMICA EMBOÇADA COM ARGAMASSA TRAÇO 1:2:9 (CIMENTO, CAL E AREIA), PARA TELHADOS COM MAIS DE 2 ÁGUAS, INCLUSO TRANSPORTE VERTICAL. AF_06/2016</t>
  </si>
  <si>
    <t>14.</t>
  </si>
  <si>
    <t>14.1</t>
  </si>
  <si>
    <t>14.2</t>
  </si>
  <si>
    <t>PRE INSTALAÇÃO PARA AR CONDICIONADO</t>
  </si>
  <si>
    <t>___________________________________________</t>
  </si>
  <si>
    <t>Declaro que a escolha pela opção tributaria Não Desonerada e a mais adequada para a Administração Pública.</t>
  </si>
  <si>
    <t>EMBOÇO INTERNO, PARA RECEBIMENTO DE CERÂMICA, EM ARGAMASSA TRAÇO 1:2:8, PREPARO MECÂNICO COM BETONEIRA 400L, APLICADO MANUALMENTE EM FACES INTERNAS DE PAREDES, PARA AMBIENTE COM ÁREA ENTRE 5M2 E 10M2, ESPESSURA DE 20MM, COM EXECUÇÃO DE TALISCAS. AF_06/2014</t>
  </si>
  <si>
    <t>REVESTIMENTO CERÂMICO PARA PAREDES EXTERNAS EM PASTILHAS DE PORCELANA 10 X 10 CM (PLACAS DE 30 X 30 CM), ALINHADAS A PRUMO, APLICADO EM PANOS COM VÃOS. AF_06/2014</t>
  </si>
  <si>
    <t>2.8</t>
  </si>
  <si>
    <t>IMPERMEABILIZAÇÃO DE SUPERFÍCIE COM EMULSÃO ASFÁLTICA, 2 DEMÃOS AF_06/2018</t>
  </si>
  <si>
    <t>APLICAÇÃO DE FUNDO SELADOR ACRÍLICO EM PAREDES E TETO UMA DEMÃO. AF_06/2014</t>
  </si>
  <si>
    <t>APLICAÇÃO E LIXAMENTO DE MASSA LÁTEX EM PAREDES E TETO, DUAS DEMÃOS. AF_06/2014</t>
  </si>
  <si>
    <t>4.3</t>
  </si>
  <si>
    <t>VIDRO TEMPERADO INCOLOR, ESPESSURA 10MM, FORNECIMENTO E INSTALACAO, INCLUSIVE MASSA PARA VEDACAO</t>
  </si>
  <si>
    <t>CAMADA HORIZONTAL DRENANTE C/ PEDRA BRITADA 1 E 2 esp. 5 cm</t>
  </si>
  <si>
    <t>15.</t>
  </si>
  <si>
    <t>15.1</t>
  </si>
  <si>
    <t>15.2</t>
  </si>
  <si>
    <t>15.3</t>
  </si>
  <si>
    <t>NOVO ACESSO</t>
  </si>
  <si>
    <t>14.4</t>
  </si>
  <si>
    <t>14.5</t>
  </si>
  <si>
    <t>14.6</t>
  </si>
  <si>
    <t>14.7</t>
  </si>
  <si>
    <t>14.8</t>
  </si>
  <si>
    <t>14.9</t>
  </si>
  <si>
    <t>14.10</t>
  </si>
  <si>
    <t>RETIRADA DE GRADE EXISTENTE</t>
  </si>
  <si>
    <t>RETIRADA DE CALÇADA EXISTENTE</t>
  </si>
  <si>
    <t>INSTALÇÃO DE GRADE EXISTENTE</t>
  </si>
  <si>
    <t>PORTAO DE ABRIR</t>
  </si>
  <si>
    <t>ESTRUTURA METALICA COM COBERTURA EM POLICARBONATO</t>
  </si>
  <si>
    <t>PORTÃO DE CORRER COM MOTOR E CONTROLE REMOTO</t>
  </si>
  <si>
    <t>14.3</t>
  </si>
  <si>
    <t>14.11</t>
  </si>
  <si>
    <t>14.12</t>
  </si>
  <si>
    <t>14.13</t>
  </si>
  <si>
    <t>14.14</t>
  </si>
  <si>
    <t>14.15</t>
  </si>
  <si>
    <t>ESCADA EM CONCRETO</t>
  </si>
  <si>
    <t>14.16</t>
  </si>
  <si>
    <t xml:space="preserve">ESCAVAÇÕES, CARGA E TRANSPORTE DE MATERIAL </t>
  </si>
  <si>
    <t>14.17</t>
  </si>
  <si>
    <t xml:space="preserve">Área de Obra: 161,65 m² </t>
  </si>
  <si>
    <t>14.18</t>
  </si>
  <si>
    <t>74072/002</t>
  </si>
  <si>
    <t>CORRIMAO EM TUBO ACO GALVANIZADO 2 1/2" COM BRACADEIRA</t>
  </si>
  <si>
    <t>GUARDA-CORPO EM TUBO DE ACO GALVANIZADO 1 1/2" altura de 90 cm</t>
  </si>
  <si>
    <t>14.19</t>
  </si>
  <si>
    <t>15.4</t>
  </si>
  <si>
    <t>DEMOLIÇÃO DE CALÇADAS EM PASSEIOS E EXECUÇÃO DE CALÇADAS COM PEDRAS BASALTICAS 15X25 CM SERRADA</t>
  </si>
  <si>
    <t>EXECUÇÃO DE PASSEIO EM PISO INTERTRAVADO, COM BLOCO RETANGULAR COR NATURAL DE 20 X 10 CM, ESPESSURA 6 CM. AF_12/2015</t>
  </si>
  <si>
    <t>BDI 21,19%</t>
  </si>
  <si>
    <t>Declaro que o percentual adotado de ISS para incendite sobre a obra e a base de cálculo aplicada é de 4% de acordo com a legislação municipal.</t>
  </si>
  <si>
    <t>Passo Fundo, 10 de Abril  de 2019.</t>
  </si>
</sst>
</file>

<file path=xl/styles.xml><?xml version="1.0" encoding="utf-8"?>
<styleSheet xmlns="http://schemas.openxmlformats.org/spreadsheetml/2006/main">
  <numFmts count="5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"/>
    <numFmt numFmtId="185" formatCode="0.00000000"/>
    <numFmt numFmtId="186" formatCode="0.0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_(* #,##0.000_);_(* \(#,##0.000\);_(* &quot;-&quot;??_);_(@_)"/>
    <numFmt numFmtId="193" formatCode="_(* #,##0.0_);_(* \(#,##0.0\);_(* &quot;-&quot;??_);_(@_)"/>
    <numFmt numFmtId="194" formatCode="_(* #,##0_);_(* \(#,##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(* #,##0.000000_);_(* \(#,##0.000000\);_(* &quot;-&quot;??_);_(@_)"/>
    <numFmt numFmtId="198" formatCode="#,##0.000"/>
    <numFmt numFmtId="199" formatCode="#,##0.0000"/>
    <numFmt numFmtId="200" formatCode="#,##0.00000"/>
    <numFmt numFmtId="201" formatCode="#,##0.000000"/>
    <numFmt numFmtId="202" formatCode="&quot;Sim&quot;;&quot;Sim&quot;;&quot;Não&quot;"/>
    <numFmt numFmtId="203" formatCode="&quot;Verdadeiro&quot;;&quot;Verdadeiro&quot;;&quot;Falso&quot;"/>
    <numFmt numFmtId="204" formatCode="&quot;Ativar&quot;;&quot;Ativar&quot;;&quot;Desativar&quot;"/>
    <numFmt numFmtId="205" formatCode="[$€-2]\ #,##0.00_);[Red]\([$€-2]\ #,##0.00\)"/>
    <numFmt numFmtId="206" formatCode="&quot;Ativado&quot;;&quot;Ativado&quot;;&quot;Desativado&quot;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i/>
      <u val="single"/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u val="single"/>
      <sz val="11"/>
      <name val="Arial"/>
      <family val="2"/>
    </font>
    <font>
      <b/>
      <i/>
      <u val="single"/>
      <sz val="12"/>
      <name val="Arial"/>
      <family val="2"/>
    </font>
    <font>
      <i/>
      <sz val="11"/>
      <name val="Arial"/>
      <family val="2"/>
    </font>
    <font>
      <b/>
      <i/>
      <u val="single"/>
      <sz val="16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FF"/>
      <name val="Arial"/>
      <family val="2"/>
    </font>
    <font>
      <sz val="10"/>
      <color rgb="FF3366FF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175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4" fontId="9" fillId="0" borderId="0" xfId="0" applyNumberFormat="1" applyFont="1" applyFill="1" applyAlignment="1">
      <alignment/>
    </xf>
    <xf numFmtId="0" fontId="8" fillId="0" borderId="10" xfId="0" applyFont="1" applyBorder="1" applyAlignment="1" quotePrefix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4" fontId="8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10" xfId="0" applyFont="1" applyBorder="1" applyAlignment="1" quotePrefix="1">
      <alignment horizontal="left"/>
    </xf>
    <xf numFmtId="0" fontId="13" fillId="0" borderId="10" xfId="0" applyFont="1" applyFill="1" applyBorder="1" applyAlignment="1">
      <alignment/>
    </xf>
    <xf numFmtId="177" fontId="13" fillId="0" borderId="10" xfId="62" applyFont="1" applyFill="1" applyBorder="1" applyAlignment="1">
      <alignment/>
    </xf>
    <xf numFmtId="0" fontId="0" fillId="0" borderId="0" xfId="0" applyFill="1" applyAlignment="1">
      <alignment/>
    </xf>
    <xf numFmtId="177" fontId="14" fillId="0" borderId="10" xfId="62" applyFont="1" applyFill="1" applyBorder="1" applyAlignment="1">
      <alignment/>
    </xf>
    <xf numFmtId="0" fontId="12" fillId="0" borderId="0" xfId="0" applyFont="1" applyAlignment="1">
      <alignment horizontal="center"/>
    </xf>
    <xf numFmtId="177" fontId="8" fillId="0" borderId="10" xfId="62" applyFont="1" applyBorder="1" applyAlignment="1">
      <alignment/>
    </xf>
    <xf numFmtId="177" fontId="8" fillId="0" borderId="10" xfId="62" applyFont="1" applyFill="1" applyBorder="1" applyAlignment="1">
      <alignment/>
    </xf>
    <xf numFmtId="0" fontId="5" fillId="0" borderId="0" xfId="0" applyFont="1" applyAlignment="1">
      <alignment/>
    </xf>
    <xf numFmtId="0" fontId="13" fillId="0" borderId="11" xfId="0" applyFont="1" applyFill="1" applyBorder="1" applyAlignment="1">
      <alignment/>
    </xf>
    <xf numFmtId="4" fontId="13" fillId="0" borderId="11" xfId="0" applyNumberFormat="1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10" xfId="0" applyFont="1" applyFill="1" applyBorder="1" applyAlignment="1">
      <alignment vertical="center"/>
    </xf>
    <xf numFmtId="0" fontId="57" fillId="0" borderId="0" xfId="0" applyFont="1" applyFill="1" applyAlignment="1">
      <alignment/>
    </xf>
    <xf numFmtId="0" fontId="13" fillId="0" borderId="10" xfId="0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 horizontal="center"/>
    </xf>
    <xf numFmtId="177" fontId="13" fillId="0" borderId="10" xfId="62" applyFont="1" applyFill="1" applyBorder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177" fontId="14" fillId="0" borderId="10" xfId="62" applyFont="1" applyFill="1" applyBorder="1" applyAlignment="1">
      <alignment vertical="center"/>
    </xf>
    <xf numFmtId="0" fontId="58" fillId="0" borderId="10" xfId="0" applyFont="1" applyFill="1" applyBorder="1" applyAlignment="1">
      <alignment horizontal="center" vertical="center"/>
    </xf>
    <xf numFmtId="43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 vertical="center"/>
    </xf>
    <xf numFmtId="177" fontId="13" fillId="0" borderId="10" xfId="62" applyFont="1" applyFill="1" applyBorder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7" fontId="13" fillId="0" borderId="10" xfId="62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11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left" wrapText="1"/>
    </xf>
    <xf numFmtId="0" fontId="11" fillId="0" borderId="0" xfId="0" applyFont="1" applyFill="1" applyAlignment="1">
      <alignment/>
    </xf>
    <xf numFmtId="177" fontId="14" fillId="0" borderId="10" xfId="62" applyFont="1" applyFill="1" applyBorder="1" applyAlignment="1">
      <alignment horizontal="center" vertical="center"/>
    </xf>
    <xf numFmtId="0" fontId="59" fillId="0" borderId="0" xfId="0" applyFont="1" applyFill="1" applyAlignment="1">
      <alignment vertical="center"/>
    </xf>
    <xf numFmtId="189" fontId="0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Fill="1" applyAlignment="1" quotePrefix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1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60" fillId="0" borderId="10" xfId="0" applyFont="1" applyFill="1" applyBorder="1" applyAlignment="1">
      <alignment vertical="center"/>
    </xf>
    <xf numFmtId="0" fontId="61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vertical="center" wrapText="1"/>
    </xf>
    <xf numFmtId="0" fontId="61" fillId="0" borderId="0" xfId="0" applyFon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18" fillId="0" borderId="0" xfId="0" applyFont="1" applyFill="1" applyAlignment="1">
      <alignment horizontal="center"/>
    </xf>
    <xf numFmtId="4" fontId="13" fillId="0" borderId="14" xfId="0" applyNumberFormat="1" applyFont="1" applyFill="1" applyBorder="1" applyAlignment="1">
      <alignment horizontal="center" vertical="center"/>
    </xf>
    <xf numFmtId="4" fontId="13" fillId="0" borderId="15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177" fontId="14" fillId="0" borderId="10" xfId="62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177" fontId="13" fillId="0" borderId="10" xfId="62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7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10" xfId="0" applyFont="1" applyFill="1" applyBorder="1" applyAlignment="1" quotePrefix="1">
      <alignment vertical="center" wrapText="1"/>
    </xf>
    <xf numFmtId="0" fontId="19" fillId="0" borderId="10" xfId="0" applyFont="1" applyFill="1" applyBorder="1" applyAlignment="1">
      <alignment vertical="center"/>
    </xf>
    <xf numFmtId="177" fontId="14" fillId="0" borderId="10" xfId="62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/>
    </xf>
    <xf numFmtId="177" fontId="0" fillId="0" borderId="10" xfId="62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174"/>
  <sheetViews>
    <sheetView tabSelected="1" zoomScaleSheetLayoutView="100" zoomScalePageLayoutView="0" workbookViewId="0" topLeftCell="A1">
      <selection activeCell="P12" sqref="P12"/>
    </sheetView>
  </sheetViews>
  <sheetFormatPr defaultColWidth="11.421875" defaultRowHeight="12.75"/>
  <cols>
    <col min="1" max="1" width="7.57421875" style="0" bestFit="1" customWidth="1"/>
    <col min="2" max="2" width="11.421875" style="0" customWidth="1"/>
    <col min="3" max="3" width="36.421875" style="0" customWidth="1"/>
    <col min="4" max="4" width="5.7109375" style="0" bestFit="1" customWidth="1"/>
    <col min="5" max="5" width="9.8515625" style="0" customWidth="1"/>
    <col min="6" max="6" width="11.00390625" style="0" bestFit="1" customWidth="1"/>
    <col min="7" max="7" width="12.7109375" style="1" bestFit="1" customWidth="1"/>
    <col min="8" max="8" width="10.421875" style="0" bestFit="1" customWidth="1"/>
    <col min="9" max="9" width="12.7109375" style="1" bestFit="1" customWidth="1"/>
    <col min="10" max="10" width="11.57421875" style="0" bestFit="1" customWidth="1"/>
    <col min="11" max="11" width="14.140625" style="1" bestFit="1" customWidth="1"/>
    <col min="12" max="12" width="10.421875" style="0" bestFit="1" customWidth="1"/>
  </cols>
  <sheetData>
    <row r="1" spans="1:12" s="20" customFormat="1" ht="20.25">
      <c r="A1" s="77" t="s">
        <v>95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s="20" customFormat="1" ht="15">
      <c r="A2" s="44"/>
      <c r="C2" s="44"/>
      <c r="D2" s="44"/>
      <c r="E2" s="44"/>
      <c r="F2" s="44"/>
      <c r="G2" s="44"/>
      <c r="H2" s="44"/>
      <c r="I2" s="47"/>
      <c r="K2" s="47"/>
      <c r="L2" s="48"/>
    </row>
    <row r="3" spans="1:12" s="20" customFormat="1" ht="12.75">
      <c r="A3" s="45"/>
      <c r="C3" s="45"/>
      <c r="D3" s="45"/>
      <c r="E3" s="45"/>
      <c r="F3" s="45"/>
      <c r="G3" s="46"/>
      <c r="H3" s="45"/>
      <c r="I3" s="47"/>
      <c r="K3" s="47"/>
      <c r="L3" s="49"/>
    </row>
    <row r="4" spans="1:12" s="20" customFormat="1" ht="12.75">
      <c r="A4" s="45"/>
      <c r="C4" s="45"/>
      <c r="D4" s="45"/>
      <c r="E4" s="45"/>
      <c r="F4" s="45"/>
      <c r="G4" s="46"/>
      <c r="H4" s="45"/>
      <c r="I4" s="47"/>
      <c r="K4" s="51"/>
      <c r="L4" s="49"/>
    </row>
    <row r="5" spans="1:12" s="20" customFormat="1" ht="15">
      <c r="A5" s="57" t="s">
        <v>96</v>
      </c>
      <c r="B5" s="57"/>
      <c r="C5" s="57"/>
      <c r="D5" s="57"/>
      <c r="E5" s="57"/>
      <c r="F5" s="57"/>
      <c r="G5" s="57"/>
      <c r="H5" s="20" t="s">
        <v>98</v>
      </c>
      <c r="I5" s="47"/>
      <c r="J5" s="57"/>
      <c r="K5" s="57"/>
      <c r="L5" s="57"/>
    </row>
    <row r="6" spans="1:12" s="20" customFormat="1" ht="15">
      <c r="A6" s="57" t="s">
        <v>97</v>
      </c>
      <c r="B6" s="57"/>
      <c r="C6" s="57"/>
      <c r="D6" s="57"/>
      <c r="E6" s="57"/>
      <c r="F6" s="57"/>
      <c r="G6" s="57"/>
      <c r="H6" s="20" t="s">
        <v>99</v>
      </c>
      <c r="J6" s="57"/>
      <c r="K6" s="57"/>
      <c r="L6" s="57"/>
    </row>
    <row r="7" spans="1:12" s="20" customFormat="1" ht="15">
      <c r="A7" s="57" t="s">
        <v>235</v>
      </c>
      <c r="B7" s="57"/>
      <c r="C7" s="57"/>
      <c r="D7" s="57"/>
      <c r="E7" s="57"/>
      <c r="F7" s="57"/>
      <c r="G7" s="57"/>
      <c r="H7" s="50" t="s">
        <v>244</v>
      </c>
      <c r="I7" s="47"/>
      <c r="J7" s="57"/>
      <c r="K7" s="57"/>
      <c r="L7" s="57"/>
    </row>
    <row r="8" spans="1:12" s="20" customFormat="1" ht="15">
      <c r="A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2" s="20" customFormat="1" ht="25.5" customHeight="1">
      <c r="A9" s="80" t="s">
        <v>44</v>
      </c>
      <c r="B9" s="89" t="s">
        <v>50</v>
      </c>
      <c r="C9" s="80" t="s">
        <v>47</v>
      </c>
      <c r="D9" s="80" t="s">
        <v>1</v>
      </c>
      <c r="E9" s="80" t="s">
        <v>2</v>
      </c>
      <c r="F9" s="82" t="s">
        <v>43</v>
      </c>
      <c r="G9" s="82"/>
      <c r="H9" s="82" t="s">
        <v>3</v>
      </c>
      <c r="I9" s="82"/>
      <c r="J9" s="31" t="s">
        <v>23</v>
      </c>
      <c r="K9" s="78" t="s">
        <v>4</v>
      </c>
      <c r="L9" s="80" t="s">
        <v>5</v>
      </c>
    </row>
    <row r="10" spans="1:12" s="20" customFormat="1" ht="14.25">
      <c r="A10" s="81"/>
      <c r="B10" s="90"/>
      <c r="C10" s="81"/>
      <c r="D10" s="81"/>
      <c r="E10" s="81"/>
      <c r="F10" s="31" t="s">
        <v>6</v>
      </c>
      <c r="G10" s="32" t="s">
        <v>7</v>
      </c>
      <c r="H10" s="31" t="s">
        <v>6</v>
      </c>
      <c r="I10" s="32" t="s">
        <v>7</v>
      </c>
      <c r="J10" s="31" t="s">
        <v>8</v>
      </c>
      <c r="K10" s="79"/>
      <c r="L10" s="81"/>
    </row>
    <row r="11" spans="1:13" s="20" customFormat="1" ht="15">
      <c r="A11" s="67" t="s">
        <v>105</v>
      </c>
      <c r="B11" s="71"/>
      <c r="C11" s="56" t="s">
        <v>29</v>
      </c>
      <c r="D11" s="26"/>
      <c r="E11" s="26"/>
      <c r="F11" s="26"/>
      <c r="G11" s="27"/>
      <c r="H11" s="26"/>
      <c r="I11" s="27"/>
      <c r="J11" s="26"/>
      <c r="K11" s="27"/>
      <c r="L11" s="28"/>
      <c r="M11" s="30"/>
    </row>
    <row r="12" spans="1:13" s="41" customFormat="1" ht="75" customHeight="1">
      <c r="A12" s="29" t="s">
        <v>24</v>
      </c>
      <c r="B12" s="55" t="s">
        <v>100</v>
      </c>
      <c r="C12" s="34" t="s">
        <v>101</v>
      </c>
      <c r="D12" s="29" t="s">
        <v>9</v>
      </c>
      <c r="E12" s="33">
        <v>161.65</v>
      </c>
      <c r="F12" s="113">
        <v>2.39</v>
      </c>
      <c r="G12" s="33">
        <f>E12*F12</f>
        <v>386.3435</v>
      </c>
      <c r="H12" s="113">
        <v>3.58</v>
      </c>
      <c r="I12" s="33">
        <f>E12*H12</f>
        <v>578.707</v>
      </c>
      <c r="J12" s="33">
        <f>F12+H12</f>
        <v>5.970000000000001</v>
      </c>
      <c r="K12" s="33">
        <f>E12*J12</f>
        <v>965.0505000000002</v>
      </c>
      <c r="L12" s="33">
        <f>K12/$K$128*100</f>
        <v>0.3208234008018507</v>
      </c>
      <c r="M12" s="40"/>
    </row>
    <row r="13" spans="1:13" s="42" customFormat="1" ht="15">
      <c r="A13" s="29"/>
      <c r="B13" s="38"/>
      <c r="C13" s="34"/>
      <c r="D13" s="29"/>
      <c r="E13" s="33"/>
      <c r="F13" s="113"/>
      <c r="G13" s="33"/>
      <c r="H13" s="113"/>
      <c r="I13" s="33"/>
      <c r="J13" s="33"/>
      <c r="K13" s="35">
        <f>SUM(K12:K12)</f>
        <v>965.0505000000002</v>
      </c>
      <c r="L13" s="33"/>
      <c r="M13" s="40"/>
    </row>
    <row r="14" spans="1:13" s="20" customFormat="1" ht="15">
      <c r="A14" s="67" t="s">
        <v>103</v>
      </c>
      <c r="B14" s="71"/>
      <c r="C14" s="103" t="s">
        <v>106</v>
      </c>
      <c r="D14" s="104"/>
      <c r="E14" s="29"/>
      <c r="F14" s="113"/>
      <c r="G14" s="114"/>
      <c r="H14" s="113"/>
      <c r="I14" s="114"/>
      <c r="J14" s="29"/>
      <c r="K14" s="114"/>
      <c r="L14" s="29"/>
      <c r="M14" s="30"/>
    </row>
    <row r="15" spans="1:13" s="42" customFormat="1" ht="42.75">
      <c r="A15" s="29" t="s">
        <v>25</v>
      </c>
      <c r="B15" s="55">
        <v>93358</v>
      </c>
      <c r="C15" s="34" t="s">
        <v>102</v>
      </c>
      <c r="D15" s="29" t="s">
        <v>11</v>
      </c>
      <c r="E15" s="33">
        <v>15.99</v>
      </c>
      <c r="F15" s="113">
        <v>33.29</v>
      </c>
      <c r="G15" s="33">
        <f aca="true" t="shared" si="0" ref="G15:G22">E15*F15</f>
        <v>532.3071</v>
      </c>
      <c r="H15" s="113">
        <v>49.93</v>
      </c>
      <c r="I15" s="33">
        <f aca="true" t="shared" si="1" ref="I15:I22">E15*H15</f>
        <v>798.3807</v>
      </c>
      <c r="J15" s="33">
        <f aca="true" t="shared" si="2" ref="J15:J22">F15+H15</f>
        <v>83.22</v>
      </c>
      <c r="K15" s="33">
        <f aca="true" t="shared" si="3" ref="K15:K22">E15*J15</f>
        <v>1330.6878</v>
      </c>
      <c r="L15" s="33">
        <f aca="true" t="shared" si="4" ref="L15:L22">K15/$K$128*100</f>
        <v>0.442376627338707</v>
      </c>
      <c r="M15" s="40"/>
    </row>
    <row r="16" spans="1:13" s="42" customFormat="1" ht="71.25">
      <c r="A16" s="29" t="s">
        <v>26</v>
      </c>
      <c r="B16" s="38">
        <v>73361</v>
      </c>
      <c r="C16" s="34" t="s">
        <v>107</v>
      </c>
      <c r="D16" s="29" t="s">
        <v>11</v>
      </c>
      <c r="E16" s="33">
        <v>15.99</v>
      </c>
      <c r="F16" s="113">
        <v>184.22</v>
      </c>
      <c r="G16" s="33">
        <f t="shared" si="0"/>
        <v>2945.6778</v>
      </c>
      <c r="H16" s="113">
        <v>276.34</v>
      </c>
      <c r="I16" s="33">
        <f t="shared" si="1"/>
        <v>4418.6766</v>
      </c>
      <c r="J16" s="33">
        <f t="shared" si="2"/>
        <v>460.55999999999995</v>
      </c>
      <c r="K16" s="33">
        <f t="shared" si="3"/>
        <v>7364.354399999999</v>
      </c>
      <c r="L16" s="33">
        <f t="shared" si="4"/>
        <v>2.448221334860789</v>
      </c>
      <c r="M16" s="40"/>
    </row>
    <row r="17" spans="1:13" s="42" customFormat="1" ht="71.25">
      <c r="A17" s="29" t="s">
        <v>62</v>
      </c>
      <c r="B17" s="55">
        <v>72131</v>
      </c>
      <c r="C17" s="34" t="s">
        <v>115</v>
      </c>
      <c r="D17" s="29" t="s">
        <v>9</v>
      </c>
      <c r="E17" s="33">
        <v>26.65</v>
      </c>
      <c r="F17" s="113">
        <v>48.48</v>
      </c>
      <c r="G17" s="33">
        <f t="shared" si="0"/>
        <v>1291.9919999999997</v>
      </c>
      <c r="H17" s="113">
        <v>72.71</v>
      </c>
      <c r="I17" s="33">
        <f t="shared" si="1"/>
        <v>1937.7214999999997</v>
      </c>
      <c r="J17" s="33">
        <f t="shared" si="2"/>
        <v>121.19</v>
      </c>
      <c r="K17" s="33">
        <f t="shared" si="3"/>
        <v>3229.7135</v>
      </c>
      <c r="L17" s="33">
        <f t="shared" si="4"/>
        <v>1.0736926914038671</v>
      </c>
      <c r="M17" s="40"/>
    </row>
    <row r="18" spans="1:13" s="42" customFormat="1" ht="71.25">
      <c r="A18" s="29" t="s">
        <v>63</v>
      </c>
      <c r="B18" s="55">
        <v>92270</v>
      </c>
      <c r="C18" s="34" t="s">
        <v>116</v>
      </c>
      <c r="D18" s="29" t="s">
        <v>9</v>
      </c>
      <c r="E18" s="33">
        <v>31.98</v>
      </c>
      <c r="F18" s="113">
        <v>32.35</v>
      </c>
      <c r="G18" s="33">
        <f t="shared" si="0"/>
        <v>1034.553</v>
      </c>
      <c r="H18" s="113">
        <v>48.52</v>
      </c>
      <c r="I18" s="33">
        <f t="shared" si="1"/>
        <v>1551.6696000000002</v>
      </c>
      <c r="J18" s="33">
        <f t="shared" si="2"/>
        <v>80.87</v>
      </c>
      <c r="K18" s="33">
        <f t="shared" si="3"/>
        <v>2586.2226</v>
      </c>
      <c r="L18" s="33">
        <f t="shared" si="4"/>
        <v>0.8597692346282441</v>
      </c>
      <c r="M18" s="40"/>
    </row>
    <row r="19" spans="1:13" s="42" customFormat="1" ht="114">
      <c r="A19" s="29" t="s">
        <v>112</v>
      </c>
      <c r="B19" s="55">
        <v>92775</v>
      </c>
      <c r="C19" s="34" t="s">
        <v>118</v>
      </c>
      <c r="D19" s="29" t="s">
        <v>109</v>
      </c>
      <c r="E19" s="33">
        <v>53.63</v>
      </c>
      <c r="F19" s="113">
        <v>5.99</v>
      </c>
      <c r="G19" s="33">
        <f t="shared" si="0"/>
        <v>321.24370000000005</v>
      </c>
      <c r="H19" s="113">
        <v>8.99</v>
      </c>
      <c r="I19" s="33">
        <f t="shared" si="1"/>
        <v>482.13370000000003</v>
      </c>
      <c r="J19" s="33">
        <f t="shared" si="2"/>
        <v>14.98</v>
      </c>
      <c r="K19" s="33">
        <f t="shared" si="3"/>
        <v>803.3774000000001</v>
      </c>
      <c r="L19" s="33">
        <f t="shared" si="4"/>
        <v>0.26707645827378845</v>
      </c>
      <c r="M19" s="40"/>
    </row>
    <row r="20" spans="1:13" s="20" customFormat="1" ht="114">
      <c r="A20" s="29" t="s">
        <v>113</v>
      </c>
      <c r="B20" s="55">
        <v>92779</v>
      </c>
      <c r="C20" s="34" t="s">
        <v>119</v>
      </c>
      <c r="D20" s="29" t="s">
        <v>109</v>
      </c>
      <c r="E20" s="33">
        <v>205.31</v>
      </c>
      <c r="F20" s="113">
        <v>3.43</v>
      </c>
      <c r="G20" s="33">
        <f t="shared" si="0"/>
        <v>704.2133</v>
      </c>
      <c r="H20" s="113">
        <v>5.15</v>
      </c>
      <c r="I20" s="33">
        <f t="shared" si="1"/>
        <v>1057.3465</v>
      </c>
      <c r="J20" s="33">
        <f t="shared" si="2"/>
        <v>8.58</v>
      </c>
      <c r="K20" s="33">
        <f t="shared" si="3"/>
        <v>1761.5598</v>
      </c>
      <c r="L20" s="33">
        <f t="shared" si="4"/>
        <v>0.5856166135884369</v>
      </c>
      <c r="M20" s="30"/>
    </row>
    <row r="21" spans="1:13" s="42" customFormat="1" ht="71.25">
      <c r="A21" s="29" t="s">
        <v>114</v>
      </c>
      <c r="B21" s="55">
        <v>94966</v>
      </c>
      <c r="C21" s="34" t="s">
        <v>111</v>
      </c>
      <c r="D21" s="29" t="s">
        <v>11</v>
      </c>
      <c r="E21" s="33">
        <v>3.2</v>
      </c>
      <c r="F21" s="113">
        <v>173.27</v>
      </c>
      <c r="G21" s="33">
        <f t="shared" si="0"/>
        <v>554.464</v>
      </c>
      <c r="H21" s="113">
        <v>259.9</v>
      </c>
      <c r="I21" s="33">
        <f t="shared" si="1"/>
        <v>831.68</v>
      </c>
      <c r="J21" s="33">
        <f t="shared" si="2"/>
        <v>433.16999999999996</v>
      </c>
      <c r="K21" s="33">
        <f t="shared" si="3"/>
        <v>1386.144</v>
      </c>
      <c r="L21" s="33">
        <f t="shared" si="4"/>
        <v>0.46081260211883257</v>
      </c>
      <c r="M21" s="40"/>
    </row>
    <row r="22" spans="1:13" s="42" customFormat="1" ht="42.75">
      <c r="A22" s="29" t="s">
        <v>200</v>
      </c>
      <c r="B22" s="55">
        <v>98557</v>
      </c>
      <c r="C22" s="34" t="s">
        <v>201</v>
      </c>
      <c r="D22" s="29" t="s">
        <v>9</v>
      </c>
      <c r="E22" s="33">
        <v>42.64</v>
      </c>
      <c r="F22" s="113">
        <v>13.62</v>
      </c>
      <c r="G22" s="33">
        <f t="shared" si="0"/>
        <v>580.7568</v>
      </c>
      <c r="H22" s="113">
        <v>20.43</v>
      </c>
      <c r="I22" s="33">
        <f t="shared" si="1"/>
        <v>871.1352</v>
      </c>
      <c r="J22" s="33">
        <f t="shared" si="2"/>
        <v>34.05</v>
      </c>
      <c r="K22" s="33">
        <f t="shared" si="3"/>
        <v>1451.8919999999998</v>
      </c>
      <c r="L22" s="33">
        <f t="shared" si="4"/>
        <v>0.4826700043541768</v>
      </c>
      <c r="M22" s="40"/>
    </row>
    <row r="23" spans="1:13" s="20" customFormat="1" ht="15">
      <c r="A23" s="18"/>
      <c r="B23" s="38"/>
      <c r="C23" s="106"/>
      <c r="D23" s="104"/>
      <c r="E23" s="29"/>
      <c r="F23" s="113"/>
      <c r="G23" s="114"/>
      <c r="H23" s="113"/>
      <c r="I23" s="114"/>
      <c r="J23" s="29"/>
      <c r="K23" s="35">
        <f>SUM(K15:K22)</f>
        <v>19913.9515</v>
      </c>
      <c r="L23" s="29"/>
      <c r="M23" s="30"/>
    </row>
    <row r="24" spans="1:13" s="20" customFormat="1" ht="15">
      <c r="A24" s="67" t="s">
        <v>104</v>
      </c>
      <c r="B24" s="68"/>
      <c r="C24" s="103" t="s">
        <v>108</v>
      </c>
      <c r="D24" s="104"/>
      <c r="E24" s="29"/>
      <c r="F24" s="113"/>
      <c r="G24" s="114"/>
      <c r="H24" s="113"/>
      <c r="I24" s="114"/>
      <c r="J24" s="29"/>
      <c r="K24" s="114"/>
      <c r="L24" s="29"/>
      <c r="M24" s="30"/>
    </row>
    <row r="25" spans="1:13" s="42" customFormat="1" ht="71.25">
      <c r="A25" s="29" t="s">
        <v>27</v>
      </c>
      <c r="B25" s="55">
        <v>92269</v>
      </c>
      <c r="C25" s="34" t="s">
        <v>117</v>
      </c>
      <c r="D25" s="29" t="s">
        <v>9</v>
      </c>
      <c r="E25" s="33">
        <v>43.8</v>
      </c>
      <c r="F25" s="113">
        <v>39.42</v>
      </c>
      <c r="G25" s="33">
        <f>E25*F25</f>
        <v>1726.596</v>
      </c>
      <c r="H25" s="113">
        <v>59.13</v>
      </c>
      <c r="I25" s="33">
        <f>E25*H25</f>
        <v>2589.894</v>
      </c>
      <c r="J25" s="33">
        <f>F25+H25</f>
        <v>98.55000000000001</v>
      </c>
      <c r="K25" s="33">
        <f>E25*J25</f>
        <v>4316.49</v>
      </c>
      <c r="L25" s="33">
        <f>K25/$K$128*100</f>
        <v>1.4349829375013847</v>
      </c>
      <c r="M25" s="40"/>
    </row>
    <row r="26" spans="1:13" s="42" customFormat="1" ht="114">
      <c r="A26" s="29" t="s">
        <v>28</v>
      </c>
      <c r="B26" s="55">
        <v>92775</v>
      </c>
      <c r="C26" s="34" t="s">
        <v>120</v>
      </c>
      <c r="D26" s="29" t="s">
        <v>109</v>
      </c>
      <c r="E26" s="33">
        <v>54.82</v>
      </c>
      <c r="F26" s="113">
        <v>5.99</v>
      </c>
      <c r="G26" s="33">
        <f>E26*F26</f>
        <v>328.3718</v>
      </c>
      <c r="H26" s="113">
        <v>8.99</v>
      </c>
      <c r="I26" s="33">
        <f>E26*H26</f>
        <v>492.8318</v>
      </c>
      <c r="J26" s="33">
        <f>F26+H26</f>
        <v>14.98</v>
      </c>
      <c r="K26" s="33">
        <f>E26*J26</f>
        <v>821.2036</v>
      </c>
      <c r="L26" s="33">
        <f>K26/$K$128*100</f>
        <v>0.27300263737775654</v>
      </c>
      <c r="M26" s="40"/>
    </row>
    <row r="27" spans="1:13" s="20" customFormat="1" ht="114">
      <c r="A27" s="29" t="s">
        <v>85</v>
      </c>
      <c r="B27" s="55">
        <v>92779</v>
      </c>
      <c r="C27" s="34" t="s">
        <v>121</v>
      </c>
      <c r="D27" s="29" t="s">
        <v>109</v>
      </c>
      <c r="E27" s="33">
        <v>242.68</v>
      </c>
      <c r="F27" s="113">
        <v>3.43</v>
      </c>
      <c r="G27" s="33">
        <f>E27*F27</f>
        <v>832.3924000000001</v>
      </c>
      <c r="H27" s="113">
        <v>5.15</v>
      </c>
      <c r="I27" s="33">
        <f>E27*H27</f>
        <v>1249.8020000000001</v>
      </c>
      <c r="J27" s="33">
        <f>F27+H27</f>
        <v>8.58</v>
      </c>
      <c r="K27" s="33">
        <f>E27*J27</f>
        <v>2082.1944</v>
      </c>
      <c r="L27" s="33">
        <f>K27/$K$128*100</f>
        <v>0.6922090486856065</v>
      </c>
      <c r="M27" s="30"/>
    </row>
    <row r="28" spans="1:13" s="42" customFormat="1" ht="71.25">
      <c r="A28" s="29" t="s">
        <v>110</v>
      </c>
      <c r="B28" s="55">
        <v>94966</v>
      </c>
      <c r="C28" s="34" t="s">
        <v>111</v>
      </c>
      <c r="D28" s="29" t="s">
        <v>11</v>
      </c>
      <c r="E28" s="33">
        <v>2.76</v>
      </c>
      <c r="F28" s="113">
        <v>173.27</v>
      </c>
      <c r="G28" s="33">
        <f>E28*F28</f>
        <v>478.2252</v>
      </c>
      <c r="H28" s="113">
        <v>259.9</v>
      </c>
      <c r="I28" s="33">
        <f>E28*H28</f>
        <v>717.3239999999998</v>
      </c>
      <c r="J28" s="33">
        <f>F28+H28</f>
        <v>433.16999999999996</v>
      </c>
      <c r="K28" s="33">
        <f>E28*J28</f>
        <v>1195.5491999999997</v>
      </c>
      <c r="L28" s="33">
        <f>K28/$K$128*100</f>
        <v>0.397450869327493</v>
      </c>
      <c r="M28" s="40"/>
    </row>
    <row r="29" spans="1:13" s="42" customFormat="1" ht="15">
      <c r="A29" s="29"/>
      <c r="B29" s="55"/>
      <c r="C29" s="34"/>
      <c r="D29" s="29"/>
      <c r="E29" s="33"/>
      <c r="F29" s="113"/>
      <c r="G29" s="33"/>
      <c r="H29" s="113"/>
      <c r="I29" s="33"/>
      <c r="J29" s="33"/>
      <c r="K29" s="35">
        <f>SUM(K25:K28)</f>
        <v>8415.437199999998</v>
      </c>
      <c r="L29" s="33"/>
      <c r="M29" s="40"/>
    </row>
    <row r="30" spans="1:13" s="42" customFormat="1" ht="15">
      <c r="A30" s="69" t="s">
        <v>122</v>
      </c>
      <c r="B30" s="68"/>
      <c r="C30" s="70" t="s">
        <v>48</v>
      </c>
      <c r="D30" s="29"/>
      <c r="E30" s="33"/>
      <c r="F30" s="113"/>
      <c r="G30" s="33"/>
      <c r="H30" s="113"/>
      <c r="I30" s="33"/>
      <c r="J30" s="33"/>
      <c r="K30" s="35"/>
      <c r="L30" s="33"/>
      <c r="M30" s="40"/>
    </row>
    <row r="31" spans="1:13" s="42" customFormat="1" ht="142.5">
      <c r="A31" s="29" t="s">
        <v>64</v>
      </c>
      <c r="B31" s="38">
        <v>87479</v>
      </c>
      <c r="C31" s="34" t="s">
        <v>129</v>
      </c>
      <c r="D31" s="29" t="s">
        <v>9</v>
      </c>
      <c r="E31" s="33">
        <f>160+37</f>
        <v>197</v>
      </c>
      <c r="F31" s="113">
        <v>24.57</v>
      </c>
      <c r="G31" s="33">
        <f>E31*F31</f>
        <v>4840.29</v>
      </c>
      <c r="H31" s="113">
        <v>36.86</v>
      </c>
      <c r="I31" s="33">
        <f>E31*H31</f>
        <v>7261.42</v>
      </c>
      <c r="J31" s="33">
        <f>F31+H31</f>
        <v>61.43</v>
      </c>
      <c r="K31" s="33">
        <f>E31*J31</f>
        <v>12101.71</v>
      </c>
      <c r="L31" s="33">
        <f>K31/$K$128*100</f>
        <v>4.0231177101278774</v>
      </c>
      <c r="M31" s="40"/>
    </row>
    <row r="32" spans="1:13" s="42" customFormat="1" ht="42.75">
      <c r="A32" s="29" t="s">
        <v>65</v>
      </c>
      <c r="B32" s="55">
        <v>93187</v>
      </c>
      <c r="C32" s="34" t="s">
        <v>123</v>
      </c>
      <c r="D32" s="29" t="s">
        <v>124</v>
      </c>
      <c r="E32" s="33">
        <v>46.8</v>
      </c>
      <c r="F32" s="113">
        <v>24.94</v>
      </c>
      <c r="G32" s="33">
        <f>E32*F32</f>
        <v>1167.192</v>
      </c>
      <c r="H32" s="113">
        <v>37.41</v>
      </c>
      <c r="I32" s="33">
        <f>E32*H32</f>
        <v>1750.7879999999998</v>
      </c>
      <c r="J32" s="33">
        <f>F32+H32</f>
        <v>62.349999999999994</v>
      </c>
      <c r="K32" s="33">
        <f>E32*J32</f>
        <v>2917.9799999999996</v>
      </c>
      <c r="L32" s="33">
        <f>K32/$K$128*100</f>
        <v>0.9700593565536559</v>
      </c>
      <c r="M32" s="40"/>
    </row>
    <row r="33" spans="1:13" s="42" customFormat="1" ht="71.25">
      <c r="A33" s="29" t="s">
        <v>204</v>
      </c>
      <c r="B33" s="55">
        <v>72120</v>
      </c>
      <c r="C33" s="34" t="s">
        <v>205</v>
      </c>
      <c r="D33" s="29" t="s">
        <v>9</v>
      </c>
      <c r="E33" s="33">
        <v>45</v>
      </c>
      <c r="F33" s="113">
        <v>94.16</v>
      </c>
      <c r="G33" s="33">
        <f>E33*F33</f>
        <v>4237.2</v>
      </c>
      <c r="H33" s="113">
        <v>141.24</v>
      </c>
      <c r="I33" s="33">
        <f>E33*H33</f>
        <v>6355.8</v>
      </c>
      <c r="J33" s="33">
        <f>F33+H33</f>
        <v>235.4</v>
      </c>
      <c r="K33" s="33">
        <f>E33*J33</f>
        <v>10593</v>
      </c>
      <c r="L33" s="33">
        <f>K33/$K$128*100</f>
        <v>3.521559011361586</v>
      </c>
      <c r="M33" s="40"/>
    </row>
    <row r="34" spans="1:13" s="42" customFormat="1" ht="15">
      <c r="A34" s="29"/>
      <c r="B34" s="38"/>
      <c r="C34" s="34"/>
      <c r="D34" s="29"/>
      <c r="E34" s="33"/>
      <c r="F34" s="113"/>
      <c r="G34" s="33"/>
      <c r="H34" s="113"/>
      <c r="I34" s="33"/>
      <c r="J34" s="33"/>
      <c r="K34" s="35">
        <f>SUM(K31:K33)</f>
        <v>25612.69</v>
      </c>
      <c r="L34" s="33"/>
      <c r="M34" s="40"/>
    </row>
    <row r="35" spans="1:13" s="20" customFormat="1" ht="15">
      <c r="A35" s="67" t="s">
        <v>126</v>
      </c>
      <c r="B35" s="68"/>
      <c r="C35" s="103" t="s">
        <v>125</v>
      </c>
      <c r="D35" s="104"/>
      <c r="E35" s="29"/>
      <c r="F35" s="113"/>
      <c r="G35" s="114"/>
      <c r="H35" s="113"/>
      <c r="I35" s="114"/>
      <c r="J35" s="29"/>
      <c r="K35" s="114"/>
      <c r="L35" s="29"/>
      <c r="M35" s="30"/>
    </row>
    <row r="36" spans="1:13" s="42" customFormat="1" ht="71.25">
      <c r="A36" s="29" t="s">
        <v>30</v>
      </c>
      <c r="B36" s="55">
        <v>92270</v>
      </c>
      <c r="C36" s="34" t="s">
        <v>127</v>
      </c>
      <c r="D36" s="29" t="s">
        <v>9</v>
      </c>
      <c r="E36" s="33">
        <v>61.42</v>
      </c>
      <c r="F36" s="113">
        <v>39.42</v>
      </c>
      <c r="G36" s="33">
        <f>E36*F36</f>
        <v>2421.1764000000003</v>
      </c>
      <c r="H36" s="113">
        <v>59.13</v>
      </c>
      <c r="I36" s="33">
        <f>E36*H36</f>
        <v>3631.7646000000004</v>
      </c>
      <c r="J36" s="33">
        <f>F36+H36</f>
        <v>98.55000000000001</v>
      </c>
      <c r="K36" s="33">
        <f>E36*J36</f>
        <v>6052.941000000001</v>
      </c>
      <c r="L36" s="33">
        <f>K36/$K$128*100</f>
        <v>2.0122523292542254</v>
      </c>
      <c r="M36" s="40"/>
    </row>
    <row r="37" spans="1:13" s="42" customFormat="1" ht="114">
      <c r="A37" s="29" t="s">
        <v>31</v>
      </c>
      <c r="B37" s="55">
        <v>92775</v>
      </c>
      <c r="C37" s="34" t="s">
        <v>120</v>
      </c>
      <c r="D37" s="29" t="s">
        <v>109</v>
      </c>
      <c r="E37" s="33">
        <v>71.95</v>
      </c>
      <c r="F37" s="113">
        <v>5.99</v>
      </c>
      <c r="G37" s="33">
        <f>E37*F37</f>
        <v>430.9805</v>
      </c>
      <c r="H37" s="113">
        <v>8.99</v>
      </c>
      <c r="I37" s="33">
        <f>E37*H37</f>
        <v>646.8305</v>
      </c>
      <c r="J37" s="33">
        <f>F37+H37</f>
        <v>14.98</v>
      </c>
      <c r="K37" s="33">
        <f>E37*J37</f>
        <v>1077.8110000000001</v>
      </c>
      <c r="L37" s="33">
        <f>K37/$K$128*100</f>
        <v>0.3583097365802551</v>
      </c>
      <c r="M37" s="40"/>
    </row>
    <row r="38" spans="1:13" s="20" customFormat="1" ht="114">
      <c r="A38" s="29" t="s">
        <v>52</v>
      </c>
      <c r="B38" s="55">
        <v>92778</v>
      </c>
      <c r="C38" s="34" t="s">
        <v>128</v>
      </c>
      <c r="D38" s="29" t="s">
        <v>109</v>
      </c>
      <c r="E38" s="33">
        <v>200.1</v>
      </c>
      <c r="F38" s="113">
        <v>3.43</v>
      </c>
      <c r="G38" s="33">
        <f>E38*F38</f>
        <v>686.343</v>
      </c>
      <c r="H38" s="113">
        <v>5.15</v>
      </c>
      <c r="I38" s="33">
        <f>E38*H38</f>
        <v>1030.515</v>
      </c>
      <c r="J38" s="33">
        <f>F38+H38</f>
        <v>8.58</v>
      </c>
      <c r="K38" s="33">
        <f>E38*J38</f>
        <v>1716.858</v>
      </c>
      <c r="L38" s="33">
        <f>K38/$K$128*100</f>
        <v>0.5707558539722675</v>
      </c>
      <c r="M38" s="30"/>
    </row>
    <row r="39" spans="1:13" s="42" customFormat="1" ht="71.25">
      <c r="A39" s="29" t="s">
        <v>66</v>
      </c>
      <c r="B39" s="55">
        <v>94966</v>
      </c>
      <c r="C39" s="34" t="s">
        <v>111</v>
      </c>
      <c r="D39" s="29" t="s">
        <v>11</v>
      </c>
      <c r="E39" s="33">
        <v>3.21</v>
      </c>
      <c r="F39" s="113">
        <v>173.27</v>
      </c>
      <c r="G39" s="33">
        <f>E39*F39</f>
        <v>556.1967000000001</v>
      </c>
      <c r="H39" s="113">
        <v>259.9</v>
      </c>
      <c r="I39" s="33">
        <f>E39*H39</f>
        <v>834.2789999999999</v>
      </c>
      <c r="J39" s="33">
        <f>F39+H39</f>
        <v>433.16999999999996</v>
      </c>
      <c r="K39" s="33">
        <f>E39*J39</f>
        <v>1390.4757</v>
      </c>
      <c r="L39" s="33">
        <f>K39/$K$128*100</f>
        <v>0.462252641500454</v>
      </c>
      <c r="M39" s="40"/>
    </row>
    <row r="40" spans="1:13" s="42" customFormat="1" ht="15">
      <c r="A40" s="29"/>
      <c r="B40" s="55"/>
      <c r="C40" s="34"/>
      <c r="D40" s="29"/>
      <c r="E40" s="33"/>
      <c r="F40" s="113"/>
      <c r="G40" s="33"/>
      <c r="H40" s="113"/>
      <c r="I40" s="33"/>
      <c r="J40" s="33"/>
      <c r="K40" s="35">
        <f>SUM(K36:K39)</f>
        <v>10238.0857</v>
      </c>
      <c r="L40" s="33"/>
      <c r="M40" s="40"/>
    </row>
    <row r="41" spans="1:13" s="42" customFormat="1" ht="15">
      <c r="A41" s="69" t="s">
        <v>130</v>
      </c>
      <c r="B41" s="68"/>
      <c r="C41" s="70" t="s">
        <v>133</v>
      </c>
      <c r="D41" s="29"/>
      <c r="E41" s="33"/>
      <c r="F41" s="113"/>
      <c r="G41" s="33"/>
      <c r="H41" s="113"/>
      <c r="I41" s="33"/>
      <c r="J41" s="33"/>
      <c r="K41" s="33"/>
      <c r="L41" s="33"/>
      <c r="M41" s="40"/>
    </row>
    <row r="42" spans="1:13" s="42" customFormat="1" ht="99.75">
      <c r="A42" s="29" t="s">
        <v>32</v>
      </c>
      <c r="B42" s="38" t="s">
        <v>131</v>
      </c>
      <c r="C42" s="34" t="s">
        <v>132</v>
      </c>
      <c r="D42" s="29" t="s">
        <v>9</v>
      </c>
      <c r="E42" s="33">
        <v>211.75</v>
      </c>
      <c r="F42" s="113">
        <v>31.71</v>
      </c>
      <c r="G42" s="33">
        <f>E42*F42</f>
        <v>6714.5925</v>
      </c>
      <c r="H42" s="113">
        <v>47.56</v>
      </c>
      <c r="I42" s="33">
        <f>E42*H42</f>
        <v>10070.83</v>
      </c>
      <c r="J42" s="33">
        <f>F42+H42</f>
        <v>79.27000000000001</v>
      </c>
      <c r="K42" s="33">
        <f>E42*J42</f>
        <v>16785.4225</v>
      </c>
      <c r="L42" s="33">
        <f>K42/$K$128*100</f>
        <v>5.580180861360003</v>
      </c>
      <c r="M42" s="40"/>
    </row>
    <row r="43" spans="1:13" s="42" customFormat="1" ht="15">
      <c r="A43" s="29"/>
      <c r="B43" s="38"/>
      <c r="C43" s="34"/>
      <c r="D43" s="29"/>
      <c r="E43" s="33"/>
      <c r="F43" s="113"/>
      <c r="G43" s="33"/>
      <c r="H43" s="113"/>
      <c r="I43" s="33"/>
      <c r="J43" s="33"/>
      <c r="K43" s="35">
        <f>SUM(K42)</f>
        <v>16785.4225</v>
      </c>
      <c r="L43" s="33"/>
      <c r="M43" s="40"/>
    </row>
    <row r="44" spans="1:13" s="42" customFormat="1" ht="15">
      <c r="A44" s="69" t="s">
        <v>134</v>
      </c>
      <c r="B44" s="68"/>
      <c r="C44" s="70" t="s">
        <v>135</v>
      </c>
      <c r="D44" s="29"/>
      <c r="E44" s="33"/>
      <c r="F44" s="113"/>
      <c r="G44" s="33"/>
      <c r="H44" s="113"/>
      <c r="I44" s="33"/>
      <c r="J44" s="33"/>
      <c r="K44" s="33"/>
      <c r="L44" s="33"/>
      <c r="M44" s="40"/>
    </row>
    <row r="45" spans="1:14" s="42" customFormat="1" ht="114">
      <c r="A45" s="29" t="s">
        <v>33</v>
      </c>
      <c r="B45" s="38">
        <v>92540</v>
      </c>
      <c r="C45" s="34" t="s">
        <v>136</v>
      </c>
      <c r="D45" s="29" t="s">
        <v>9</v>
      </c>
      <c r="E45" s="33">
        <v>187.97</v>
      </c>
      <c r="F45" s="113">
        <v>25.4</v>
      </c>
      <c r="G45" s="33">
        <f aca="true" t="shared" si="5" ref="G45:G53">E45*F45</f>
        <v>4774.438</v>
      </c>
      <c r="H45" s="113">
        <v>38.1</v>
      </c>
      <c r="I45" s="33">
        <f aca="true" t="shared" si="6" ref="I45:I53">E45*H45</f>
        <v>7161.657</v>
      </c>
      <c r="J45" s="33">
        <f aca="true" t="shared" si="7" ref="J45:J53">F45+H45</f>
        <v>63.5</v>
      </c>
      <c r="K45" s="33">
        <f aca="true" t="shared" si="8" ref="K45:K53">E45*J45</f>
        <v>11936.095</v>
      </c>
      <c r="L45" s="33">
        <f aca="true" t="shared" si="9" ref="L45:L53">K45/$K$128*100</f>
        <v>3.9680603141431097</v>
      </c>
      <c r="M45" s="40"/>
      <c r="N45" s="76"/>
    </row>
    <row r="46" spans="1:13" s="42" customFormat="1" ht="71.25">
      <c r="A46" s="29" t="s">
        <v>34</v>
      </c>
      <c r="B46" s="38">
        <v>94441</v>
      </c>
      <c r="C46" s="34" t="s">
        <v>137</v>
      </c>
      <c r="D46" s="29" t="s">
        <v>9</v>
      </c>
      <c r="E46" s="33">
        <f>E45</f>
        <v>187.97</v>
      </c>
      <c r="F46" s="113">
        <v>27.01</v>
      </c>
      <c r="G46" s="33">
        <f t="shared" si="5"/>
        <v>5077.0697</v>
      </c>
      <c r="H46" s="113">
        <v>40.51</v>
      </c>
      <c r="I46" s="33">
        <f t="shared" si="6"/>
        <v>7614.664699999999</v>
      </c>
      <c r="J46" s="33">
        <f t="shared" si="7"/>
        <v>67.52</v>
      </c>
      <c r="K46" s="33">
        <f t="shared" si="8"/>
        <v>12691.7344</v>
      </c>
      <c r="L46" s="33">
        <f t="shared" si="9"/>
        <v>4.219266652140831</v>
      </c>
      <c r="M46" s="40"/>
    </row>
    <row r="47" spans="1:13" s="42" customFormat="1" ht="99.75">
      <c r="A47" s="29" t="s">
        <v>35</v>
      </c>
      <c r="B47" s="38">
        <v>94219</v>
      </c>
      <c r="C47" s="34" t="s">
        <v>191</v>
      </c>
      <c r="D47" s="29" t="s">
        <v>10</v>
      </c>
      <c r="E47" s="33">
        <v>46.89</v>
      </c>
      <c r="F47" s="113">
        <v>14.33</v>
      </c>
      <c r="G47" s="33">
        <f t="shared" si="5"/>
        <v>671.9337</v>
      </c>
      <c r="H47" s="113">
        <v>21.5</v>
      </c>
      <c r="I47" s="33">
        <f t="shared" si="6"/>
        <v>1008.135</v>
      </c>
      <c r="J47" s="33">
        <f t="shared" si="7"/>
        <v>35.83</v>
      </c>
      <c r="K47" s="33">
        <f t="shared" si="8"/>
        <v>1680.0687</v>
      </c>
      <c r="L47" s="33">
        <f t="shared" si="9"/>
        <v>0.5585255423573628</v>
      </c>
      <c r="M47" s="40"/>
    </row>
    <row r="48" spans="1:13" s="42" customFormat="1" ht="71.25">
      <c r="A48" s="29" t="s">
        <v>36</v>
      </c>
      <c r="B48" s="38">
        <v>94231</v>
      </c>
      <c r="C48" s="34" t="s">
        <v>138</v>
      </c>
      <c r="D48" s="29" t="s">
        <v>10</v>
      </c>
      <c r="E48" s="33">
        <v>60</v>
      </c>
      <c r="F48" s="113">
        <v>14.25</v>
      </c>
      <c r="G48" s="33">
        <f t="shared" si="5"/>
        <v>855</v>
      </c>
      <c r="H48" s="113">
        <v>21.37</v>
      </c>
      <c r="I48" s="33">
        <f t="shared" si="6"/>
        <v>1282.2</v>
      </c>
      <c r="J48" s="33">
        <f t="shared" si="7"/>
        <v>35.620000000000005</v>
      </c>
      <c r="K48" s="33">
        <f t="shared" si="8"/>
        <v>2137.2000000000003</v>
      </c>
      <c r="L48" s="33">
        <f t="shared" si="9"/>
        <v>0.7104952250620203</v>
      </c>
      <c r="M48" s="40"/>
    </row>
    <row r="49" spans="1:13" s="42" customFormat="1" ht="71.25">
      <c r="A49" s="29" t="s">
        <v>75</v>
      </c>
      <c r="B49" s="38">
        <v>94228</v>
      </c>
      <c r="C49" s="34" t="s">
        <v>139</v>
      </c>
      <c r="D49" s="29" t="s">
        <v>10</v>
      </c>
      <c r="E49" s="33">
        <v>69.2</v>
      </c>
      <c r="F49" s="113">
        <v>27.51</v>
      </c>
      <c r="G49" s="33">
        <f t="shared" si="5"/>
        <v>1903.6920000000002</v>
      </c>
      <c r="H49" s="113">
        <v>41.27</v>
      </c>
      <c r="I49" s="33">
        <f t="shared" si="6"/>
        <v>2855.8840000000005</v>
      </c>
      <c r="J49" s="33">
        <f t="shared" si="7"/>
        <v>68.78</v>
      </c>
      <c r="K49" s="33">
        <f t="shared" si="8"/>
        <v>4759.576</v>
      </c>
      <c r="L49" s="33">
        <f t="shared" si="9"/>
        <v>1.5822833713830198</v>
      </c>
      <c r="M49" s="40"/>
    </row>
    <row r="50" spans="1:13" s="42" customFormat="1" ht="71.25">
      <c r="A50" s="29" t="s">
        <v>76</v>
      </c>
      <c r="B50" s="38">
        <v>89580</v>
      </c>
      <c r="C50" s="34" t="s">
        <v>140</v>
      </c>
      <c r="D50" s="29" t="s">
        <v>10</v>
      </c>
      <c r="E50" s="33">
        <v>18</v>
      </c>
      <c r="F50" s="113">
        <v>26.41</v>
      </c>
      <c r="G50" s="33">
        <f t="shared" si="5"/>
        <v>475.38</v>
      </c>
      <c r="H50" s="113">
        <v>39.62</v>
      </c>
      <c r="I50" s="33">
        <f t="shared" si="6"/>
        <v>713.16</v>
      </c>
      <c r="J50" s="33">
        <f t="shared" si="7"/>
        <v>66.03</v>
      </c>
      <c r="K50" s="33">
        <f t="shared" si="8"/>
        <v>1188.54</v>
      </c>
      <c r="L50" s="33">
        <f t="shared" si="9"/>
        <v>0.3951207162620314</v>
      </c>
      <c r="M50" s="40"/>
    </row>
    <row r="51" spans="1:13" s="42" customFormat="1" ht="57">
      <c r="A51" s="29" t="s">
        <v>144</v>
      </c>
      <c r="B51" s="38" t="s">
        <v>141</v>
      </c>
      <c r="C51" s="34" t="s">
        <v>142</v>
      </c>
      <c r="D51" s="29" t="s">
        <v>60</v>
      </c>
      <c r="E51" s="33">
        <v>6</v>
      </c>
      <c r="F51" s="113">
        <v>95.1</v>
      </c>
      <c r="G51" s="33">
        <f t="shared" si="5"/>
        <v>570.5999999999999</v>
      </c>
      <c r="H51" s="113">
        <v>142.64</v>
      </c>
      <c r="I51" s="33">
        <f t="shared" si="6"/>
        <v>855.8399999999999</v>
      </c>
      <c r="J51" s="33">
        <f t="shared" si="7"/>
        <v>237.73999999999998</v>
      </c>
      <c r="K51" s="33">
        <f t="shared" si="8"/>
        <v>1426.4399999999998</v>
      </c>
      <c r="L51" s="33">
        <f t="shared" si="9"/>
        <v>0.4742086883948475</v>
      </c>
      <c r="M51" s="40"/>
    </row>
    <row r="52" spans="1:13" s="59" customFormat="1" ht="42.75">
      <c r="A52" s="72" t="s">
        <v>145</v>
      </c>
      <c r="B52" s="73">
        <v>83671</v>
      </c>
      <c r="C52" s="74" t="s">
        <v>143</v>
      </c>
      <c r="D52" s="72" t="s">
        <v>10</v>
      </c>
      <c r="E52" s="33">
        <v>65</v>
      </c>
      <c r="F52" s="113">
        <v>26.71</v>
      </c>
      <c r="G52" s="33">
        <f t="shared" si="5"/>
        <v>1736.15</v>
      </c>
      <c r="H52" s="113">
        <v>40.06</v>
      </c>
      <c r="I52" s="33">
        <f t="shared" si="6"/>
        <v>2603.9</v>
      </c>
      <c r="J52" s="33">
        <f t="shared" si="7"/>
        <v>66.77000000000001</v>
      </c>
      <c r="K52" s="33">
        <f t="shared" si="8"/>
        <v>4340.050000000001</v>
      </c>
      <c r="L52" s="33">
        <f t="shared" si="9"/>
        <v>1.4428152730350092</v>
      </c>
      <c r="M52" s="75"/>
    </row>
    <row r="53" spans="1:13" s="42" customFormat="1" ht="42.75">
      <c r="A53" s="29" t="s">
        <v>190</v>
      </c>
      <c r="B53" s="55">
        <v>93358</v>
      </c>
      <c r="C53" s="34" t="s">
        <v>102</v>
      </c>
      <c r="D53" s="29" t="s">
        <v>11</v>
      </c>
      <c r="E53" s="33">
        <f>E52*0.3*0.5</f>
        <v>9.75</v>
      </c>
      <c r="F53" s="113">
        <v>33.29</v>
      </c>
      <c r="G53" s="33">
        <f t="shared" si="5"/>
        <v>324.5775</v>
      </c>
      <c r="H53" s="113">
        <v>49.93</v>
      </c>
      <c r="I53" s="33">
        <f t="shared" si="6"/>
        <v>486.8175</v>
      </c>
      <c r="J53" s="33">
        <f t="shared" si="7"/>
        <v>83.22</v>
      </c>
      <c r="K53" s="33">
        <f t="shared" si="8"/>
        <v>811.395</v>
      </c>
      <c r="L53" s="33">
        <f t="shared" si="9"/>
        <v>0.26974184593823597</v>
      </c>
      <c r="M53" s="40"/>
    </row>
    <row r="54" spans="1:13" s="42" customFormat="1" ht="15">
      <c r="A54" s="29"/>
      <c r="B54" s="38"/>
      <c r="C54" s="34"/>
      <c r="D54" s="29"/>
      <c r="E54" s="33"/>
      <c r="F54" s="113"/>
      <c r="G54" s="33"/>
      <c r="H54" s="113"/>
      <c r="I54" s="33"/>
      <c r="J54" s="33"/>
      <c r="K54" s="35">
        <f>SUM(K45:K53)</f>
        <v>40971.0991</v>
      </c>
      <c r="L54" s="33"/>
      <c r="M54" s="40"/>
    </row>
    <row r="55" spans="1:13" s="42" customFormat="1" ht="15">
      <c r="A55" s="69" t="s">
        <v>146</v>
      </c>
      <c r="B55" s="68"/>
      <c r="C55" s="70" t="s">
        <v>37</v>
      </c>
      <c r="D55" s="29"/>
      <c r="E55" s="33"/>
      <c r="F55" s="113"/>
      <c r="G55" s="33"/>
      <c r="H55" s="113"/>
      <c r="I55" s="33"/>
      <c r="J55" s="33"/>
      <c r="K55" s="33"/>
      <c r="L55" s="33"/>
      <c r="M55" s="40"/>
    </row>
    <row r="56" spans="1:13" s="42" customFormat="1" ht="114">
      <c r="A56" s="29" t="s">
        <v>45</v>
      </c>
      <c r="B56" s="55">
        <v>87905</v>
      </c>
      <c r="C56" s="34" t="s">
        <v>147</v>
      </c>
      <c r="D56" s="29" t="s">
        <v>9</v>
      </c>
      <c r="E56" s="33">
        <f>361.8+60</f>
        <v>421.8</v>
      </c>
      <c r="F56" s="113">
        <v>3.35</v>
      </c>
      <c r="G56" s="33">
        <f>E56*F56</f>
        <v>1413.03</v>
      </c>
      <c r="H56" s="113">
        <v>5.03</v>
      </c>
      <c r="I56" s="33">
        <f>E56*H56</f>
        <v>2121.654</v>
      </c>
      <c r="J56" s="33">
        <f>F56+H56</f>
        <v>8.38</v>
      </c>
      <c r="K56" s="33">
        <f>E56*J56</f>
        <v>3534.6840000000007</v>
      </c>
      <c r="L56" s="33">
        <f aca="true" t="shared" si="10" ref="L56:L62">K56/$K$128*100</f>
        <v>1.175077720430059</v>
      </c>
      <c r="M56" s="40"/>
    </row>
    <row r="57" spans="1:13" s="42" customFormat="1" ht="85.5">
      <c r="A57" s="29" t="s">
        <v>82</v>
      </c>
      <c r="B57" s="38">
        <v>87882</v>
      </c>
      <c r="C57" s="34" t="s">
        <v>148</v>
      </c>
      <c r="D57" s="29" t="s">
        <v>9</v>
      </c>
      <c r="E57" s="33">
        <v>181.07</v>
      </c>
      <c r="F57" s="113">
        <v>1.9</v>
      </c>
      <c r="G57" s="33">
        <f>E57*F57</f>
        <v>344.03299999999996</v>
      </c>
      <c r="H57" s="113">
        <v>2.84</v>
      </c>
      <c r="I57" s="33">
        <f>E57*H57</f>
        <v>514.2388</v>
      </c>
      <c r="J57" s="33">
        <f>F57+H57</f>
        <v>4.74</v>
      </c>
      <c r="K57" s="33">
        <f>E57*J57</f>
        <v>858.2718</v>
      </c>
      <c r="L57" s="33">
        <f t="shared" si="10"/>
        <v>0.28532566709029816</v>
      </c>
      <c r="M57" s="40"/>
    </row>
    <row r="58" spans="1:13" s="42" customFormat="1" ht="104.25" customHeight="1">
      <c r="A58" s="29" t="s">
        <v>83</v>
      </c>
      <c r="B58" s="38">
        <v>87777</v>
      </c>
      <c r="C58" s="34" t="s">
        <v>150</v>
      </c>
      <c r="D58" s="29" t="s">
        <v>9</v>
      </c>
      <c r="E58" s="33">
        <v>193.65</v>
      </c>
      <c r="F58" s="113">
        <v>14.54</v>
      </c>
      <c r="G58" s="33">
        <f>E58*F58</f>
        <v>2815.671</v>
      </c>
      <c r="H58" s="113">
        <v>21.81</v>
      </c>
      <c r="I58" s="33">
        <f>E58*H58</f>
        <v>4223.5064999999995</v>
      </c>
      <c r="J58" s="33">
        <f>F58+H58</f>
        <v>36.349999999999994</v>
      </c>
      <c r="K58" s="33">
        <f>E58*J58</f>
        <v>7039.177499999999</v>
      </c>
      <c r="L58" s="33">
        <f t="shared" si="10"/>
        <v>2.3401188480787987</v>
      </c>
      <c r="M58" s="40"/>
    </row>
    <row r="59" spans="1:13" s="42" customFormat="1" ht="156.75">
      <c r="A59" s="29" t="s">
        <v>87</v>
      </c>
      <c r="B59" s="55">
        <v>87531</v>
      </c>
      <c r="C59" s="34" t="s">
        <v>198</v>
      </c>
      <c r="D59" s="29" t="s">
        <v>9</v>
      </c>
      <c r="E59" s="33">
        <v>409.22</v>
      </c>
      <c r="F59" s="113">
        <v>12.84</v>
      </c>
      <c r="G59" s="33">
        <f>E59*F59</f>
        <v>5254.384800000001</v>
      </c>
      <c r="H59" s="113">
        <v>19.26</v>
      </c>
      <c r="I59" s="33">
        <f>E59*H59</f>
        <v>7881.5772000000015</v>
      </c>
      <c r="J59" s="33">
        <f>F59+H59</f>
        <v>32.1</v>
      </c>
      <c r="K59" s="33">
        <f>E59*J59</f>
        <v>13135.962000000001</v>
      </c>
      <c r="L59" s="33">
        <f t="shared" si="10"/>
        <v>4.3669466019072365</v>
      </c>
      <c r="M59" s="40"/>
    </row>
    <row r="60" spans="1:13" s="42" customFormat="1" ht="36" customHeight="1">
      <c r="A60" s="29" t="s">
        <v>88</v>
      </c>
      <c r="B60" s="38">
        <v>5998</v>
      </c>
      <c r="C60" s="34" t="s">
        <v>151</v>
      </c>
      <c r="D60" s="29" t="s">
        <v>9</v>
      </c>
      <c r="E60" s="33">
        <f>E59+E58-E61-E62</f>
        <v>496.34999999999997</v>
      </c>
      <c r="F60" s="113">
        <v>0.43</v>
      </c>
      <c r="G60" s="33">
        <f>E60*F60</f>
        <v>213.4305</v>
      </c>
      <c r="H60" s="113">
        <v>0.65</v>
      </c>
      <c r="I60" s="33">
        <f>E60*H60</f>
        <v>322.6275</v>
      </c>
      <c r="J60" s="33">
        <f>F60+H60</f>
        <v>1.08</v>
      </c>
      <c r="K60" s="33">
        <f>E60*J60</f>
        <v>536.058</v>
      </c>
      <c r="L60" s="33">
        <f t="shared" si="10"/>
        <v>0.17820823945175765</v>
      </c>
      <c r="M60" s="40"/>
    </row>
    <row r="61" spans="1:13" s="42" customFormat="1" ht="93" customHeight="1">
      <c r="A61" s="29" t="s">
        <v>89</v>
      </c>
      <c r="B61" s="38">
        <v>87242</v>
      </c>
      <c r="C61" s="34" t="s">
        <v>199</v>
      </c>
      <c r="D61" s="29" t="s">
        <v>9</v>
      </c>
      <c r="E61" s="33">
        <v>27.2</v>
      </c>
      <c r="F61" s="113">
        <v>50.9</v>
      </c>
      <c r="G61" s="33">
        <f aca="true" t="shared" si="11" ref="G61:G67">E61*F61</f>
        <v>1384.48</v>
      </c>
      <c r="H61" s="113">
        <v>76.35</v>
      </c>
      <c r="I61" s="33">
        <f aca="true" t="shared" si="12" ref="I61:I67">E61*H61</f>
        <v>2076.72</v>
      </c>
      <c r="J61" s="33">
        <f aca="true" t="shared" si="13" ref="J61:J67">F61+H61</f>
        <v>127.25</v>
      </c>
      <c r="K61" s="33">
        <f aca="true" t="shared" si="14" ref="K61:K67">E61*J61</f>
        <v>3461.2</v>
      </c>
      <c r="L61" s="33">
        <f t="shared" si="10"/>
        <v>1.150648546221535</v>
      </c>
      <c r="M61" s="40"/>
    </row>
    <row r="62" spans="1:13" s="42" customFormat="1" ht="105" customHeight="1">
      <c r="A62" s="29" t="s">
        <v>94</v>
      </c>
      <c r="B62" s="55">
        <v>87266</v>
      </c>
      <c r="C62" s="34" t="s">
        <v>149</v>
      </c>
      <c r="D62" s="29" t="s">
        <v>9</v>
      </c>
      <c r="E62" s="33">
        <v>79.32</v>
      </c>
      <c r="F62" s="113">
        <v>27.99</v>
      </c>
      <c r="G62" s="33">
        <f t="shared" si="11"/>
        <v>2220.1667999999995</v>
      </c>
      <c r="H62" s="113">
        <v>41.98</v>
      </c>
      <c r="I62" s="33">
        <f t="shared" si="12"/>
        <v>3329.8535999999995</v>
      </c>
      <c r="J62" s="33">
        <f t="shared" si="13"/>
        <v>69.97</v>
      </c>
      <c r="K62" s="33">
        <f t="shared" si="14"/>
        <v>5550.020399999999</v>
      </c>
      <c r="L62" s="33">
        <f t="shared" si="10"/>
        <v>1.8450603561654517</v>
      </c>
      <c r="M62" s="40"/>
    </row>
    <row r="63" spans="1:13" s="42" customFormat="1" ht="15">
      <c r="A63" s="29"/>
      <c r="B63" s="38"/>
      <c r="C63" s="34"/>
      <c r="D63" s="29"/>
      <c r="E63" s="33"/>
      <c r="F63" s="113"/>
      <c r="G63" s="33"/>
      <c r="H63" s="113"/>
      <c r="I63" s="33"/>
      <c r="J63" s="33"/>
      <c r="K63" s="35">
        <f>SUM(K56:K62)</f>
        <v>34115.373700000004</v>
      </c>
      <c r="L63" s="33"/>
      <c r="M63" s="40"/>
    </row>
    <row r="64" spans="1:13" s="42" customFormat="1" ht="15">
      <c r="A64" s="69" t="s">
        <v>152</v>
      </c>
      <c r="B64" s="68"/>
      <c r="C64" s="70" t="s">
        <v>153</v>
      </c>
      <c r="D64" s="29"/>
      <c r="E64" s="33"/>
      <c r="F64" s="113"/>
      <c r="G64" s="33"/>
      <c r="H64" s="113"/>
      <c r="I64" s="33"/>
      <c r="J64" s="33"/>
      <c r="K64" s="33"/>
      <c r="L64" s="33"/>
      <c r="M64" s="40"/>
    </row>
    <row r="65" spans="1:13" s="42" customFormat="1" ht="38.25" customHeight="1">
      <c r="A65" s="29" t="s">
        <v>38</v>
      </c>
      <c r="B65" s="55">
        <v>83683</v>
      </c>
      <c r="C65" s="34" t="s">
        <v>206</v>
      </c>
      <c r="D65" s="29" t="s">
        <v>11</v>
      </c>
      <c r="E65" s="33">
        <v>7.48</v>
      </c>
      <c r="F65" s="113">
        <v>49.84</v>
      </c>
      <c r="G65" s="33">
        <f t="shared" si="11"/>
        <v>372.80320000000006</v>
      </c>
      <c r="H65" s="113">
        <v>74.76</v>
      </c>
      <c r="I65" s="33">
        <f t="shared" si="12"/>
        <v>559.2048000000001</v>
      </c>
      <c r="J65" s="33">
        <f t="shared" si="13"/>
        <v>124.60000000000001</v>
      </c>
      <c r="K65" s="33">
        <f t="shared" si="14"/>
        <v>932.0080000000002</v>
      </c>
      <c r="L65" s="33">
        <f>K65/$K$128*100</f>
        <v>0.30983868319277724</v>
      </c>
      <c r="M65" s="40"/>
    </row>
    <row r="66" spans="1:13" s="42" customFormat="1" ht="71.25">
      <c r="A66" s="29" t="s">
        <v>39</v>
      </c>
      <c r="B66" s="55">
        <v>68333</v>
      </c>
      <c r="C66" s="34" t="s">
        <v>154</v>
      </c>
      <c r="D66" s="29" t="s">
        <v>9</v>
      </c>
      <c r="E66" s="33">
        <v>149.75</v>
      </c>
      <c r="F66" s="113">
        <v>23.3</v>
      </c>
      <c r="G66" s="33">
        <f t="shared" si="11"/>
        <v>3489.175</v>
      </c>
      <c r="H66" s="113">
        <v>34.95</v>
      </c>
      <c r="I66" s="33">
        <f t="shared" si="12"/>
        <v>5233.762500000001</v>
      </c>
      <c r="J66" s="33">
        <f t="shared" si="13"/>
        <v>58.25</v>
      </c>
      <c r="K66" s="33">
        <f t="shared" si="14"/>
        <v>8722.9375</v>
      </c>
      <c r="L66" s="33">
        <f>K66/$K$128*100</f>
        <v>2.8998715339062495</v>
      </c>
      <c r="M66" s="40"/>
    </row>
    <row r="67" spans="1:13" s="42" customFormat="1" ht="57">
      <c r="A67" s="29" t="s">
        <v>70</v>
      </c>
      <c r="B67" s="38">
        <v>84191</v>
      </c>
      <c r="C67" s="34" t="s">
        <v>155</v>
      </c>
      <c r="D67" s="29" t="s">
        <v>9</v>
      </c>
      <c r="E67" s="33">
        <f>E66</f>
        <v>149.75</v>
      </c>
      <c r="F67" s="113">
        <v>44.15</v>
      </c>
      <c r="G67" s="33">
        <f t="shared" si="11"/>
        <v>6611.4625</v>
      </c>
      <c r="H67" s="113">
        <v>66.23</v>
      </c>
      <c r="I67" s="33">
        <f t="shared" si="12"/>
        <v>9917.942500000001</v>
      </c>
      <c r="J67" s="33">
        <f t="shared" si="13"/>
        <v>110.38</v>
      </c>
      <c r="K67" s="33">
        <f t="shared" si="14"/>
        <v>16529.405</v>
      </c>
      <c r="L67" s="33">
        <f>K67/$K$128*100</f>
        <v>5.4950698697437215</v>
      </c>
      <c r="M67" s="40"/>
    </row>
    <row r="68" spans="1:13" s="42" customFormat="1" ht="28.5">
      <c r="A68" s="29" t="s">
        <v>71</v>
      </c>
      <c r="B68" s="38" t="s">
        <v>55</v>
      </c>
      <c r="C68" s="34" t="s">
        <v>156</v>
      </c>
      <c r="D68" s="29" t="s">
        <v>124</v>
      </c>
      <c r="E68" s="33">
        <v>66.1</v>
      </c>
      <c r="F68" s="113">
        <v>12.64</v>
      </c>
      <c r="G68" s="33">
        <f aca="true" t="shared" si="15" ref="G68:G74">E68*F68</f>
        <v>835.504</v>
      </c>
      <c r="H68" s="113">
        <v>18.96</v>
      </c>
      <c r="I68" s="33">
        <f aca="true" t="shared" si="16" ref="I68:I74">E68*H68</f>
        <v>1253.2559999999999</v>
      </c>
      <c r="J68" s="33">
        <f aca="true" t="shared" si="17" ref="J68:J74">F68+H68</f>
        <v>31.6</v>
      </c>
      <c r="K68" s="33">
        <f aca="true" t="shared" si="18" ref="K68:K74">E68*J68</f>
        <v>2088.7599999999998</v>
      </c>
      <c r="L68" s="33">
        <f>K68/$K$128*100</f>
        <v>0.6943917304419545</v>
      </c>
      <c r="M68" s="40"/>
    </row>
    <row r="69" spans="1:13" s="42" customFormat="1" ht="42.75">
      <c r="A69" s="29" t="s">
        <v>72</v>
      </c>
      <c r="B69" s="55">
        <v>98689</v>
      </c>
      <c r="C69" s="34" t="s">
        <v>86</v>
      </c>
      <c r="D69" s="29" t="s">
        <v>124</v>
      </c>
      <c r="E69" s="33">
        <v>1.6</v>
      </c>
      <c r="F69" s="113">
        <v>42.46</v>
      </c>
      <c r="G69" s="33">
        <f t="shared" si="15"/>
        <v>67.936</v>
      </c>
      <c r="H69" s="113">
        <v>63.68</v>
      </c>
      <c r="I69" s="33">
        <f t="shared" si="16"/>
        <v>101.888</v>
      </c>
      <c r="J69" s="33">
        <f t="shared" si="17"/>
        <v>106.14</v>
      </c>
      <c r="K69" s="33">
        <f t="shared" si="18"/>
        <v>169.824</v>
      </c>
      <c r="L69" s="33">
        <f>K69/$K$128*100</f>
        <v>0.056456644722502586</v>
      </c>
      <c r="M69" s="40"/>
    </row>
    <row r="70" spans="1:13" s="42" customFormat="1" ht="15">
      <c r="A70" s="29"/>
      <c r="B70" s="38"/>
      <c r="C70" s="34"/>
      <c r="D70" s="29"/>
      <c r="E70" s="33"/>
      <c r="F70" s="113"/>
      <c r="G70" s="33"/>
      <c r="H70" s="113"/>
      <c r="I70" s="33"/>
      <c r="J70" s="33"/>
      <c r="K70" s="35">
        <f>SUM(K65:K69)</f>
        <v>28442.9345</v>
      </c>
      <c r="L70" s="33"/>
      <c r="M70" s="40"/>
    </row>
    <row r="71" spans="1:13" s="42" customFormat="1" ht="15">
      <c r="A71" s="69" t="s">
        <v>157</v>
      </c>
      <c r="B71" s="68"/>
      <c r="C71" s="70" t="s">
        <v>158</v>
      </c>
      <c r="D71" s="29"/>
      <c r="E71" s="33"/>
      <c r="F71" s="113"/>
      <c r="G71" s="33"/>
      <c r="H71" s="113"/>
      <c r="I71" s="33"/>
      <c r="J71" s="33"/>
      <c r="K71" s="33"/>
      <c r="L71" s="33"/>
      <c r="M71" s="40"/>
    </row>
    <row r="72" spans="1:13" s="42" customFormat="1" ht="146.25" customHeight="1">
      <c r="A72" s="29" t="s">
        <v>40</v>
      </c>
      <c r="B72" s="55">
        <v>90843</v>
      </c>
      <c r="C72" s="34" t="s">
        <v>159</v>
      </c>
      <c r="D72" s="29" t="s">
        <v>60</v>
      </c>
      <c r="E72" s="33">
        <v>2</v>
      </c>
      <c r="F72" s="113">
        <v>411.41</v>
      </c>
      <c r="G72" s="33">
        <f t="shared" si="15"/>
        <v>822.82</v>
      </c>
      <c r="H72" s="113">
        <v>617.12</v>
      </c>
      <c r="I72" s="33">
        <f t="shared" si="16"/>
        <v>1234.24</v>
      </c>
      <c r="J72" s="33">
        <f t="shared" si="17"/>
        <v>1028.53</v>
      </c>
      <c r="K72" s="33">
        <f t="shared" si="18"/>
        <v>2057.06</v>
      </c>
      <c r="L72" s="33">
        <f>K72/$K$128*100</f>
        <v>0.6838533163326218</v>
      </c>
      <c r="M72" s="40"/>
    </row>
    <row r="73" spans="1:13" s="42" customFormat="1" ht="71.25">
      <c r="A73" s="29" t="s">
        <v>49</v>
      </c>
      <c r="B73" s="38">
        <v>94567</v>
      </c>
      <c r="C73" s="34" t="s">
        <v>160</v>
      </c>
      <c r="D73" s="29" t="s">
        <v>9</v>
      </c>
      <c r="E73" s="33">
        <v>34.56</v>
      </c>
      <c r="F73" s="113">
        <v>212.8</v>
      </c>
      <c r="G73" s="33">
        <f t="shared" si="15"/>
        <v>7354.368000000001</v>
      </c>
      <c r="H73" s="113">
        <v>319.19</v>
      </c>
      <c r="I73" s="33">
        <f t="shared" si="16"/>
        <v>11031.206400000001</v>
      </c>
      <c r="J73" s="33">
        <f t="shared" si="17"/>
        <v>531.99</v>
      </c>
      <c r="K73" s="33">
        <f t="shared" si="18"/>
        <v>18385.5744</v>
      </c>
      <c r="L73" s="33">
        <f>K73/$K$128*100</f>
        <v>6.112138696061444</v>
      </c>
      <c r="M73" s="40"/>
    </row>
    <row r="74" spans="1:13" s="42" customFormat="1" ht="57.75" customHeight="1">
      <c r="A74" s="29" t="s">
        <v>53</v>
      </c>
      <c r="B74" s="38">
        <v>72118</v>
      </c>
      <c r="C74" s="34" t="s">
        <v>161</v>
      </c>
      <c r="D74" s="29" t="s">
        <v>9</v>
      </c>
      <c r="E74" s="33">
        <f>E73</f>
        <v>34.56</v>
      </c>
      <c r="F74" s="113">
        <v>61.09</v>
      </c>
      <c r="G74" s="33">
        <f t="shared" si="15"/>
        <v>2111.2704000000003</v>
      </c>
      <c r="H74" s="113">
        <v>91.63</v>
      </c>
      <c r="I74" s="33">
        <f t="shared" si="16"/>
        <v>3166.7328</v>
      </c>
      <c r="J74" s="33">
        <f t="shared" si="17"/>
        <v>152.72</v>
      </c>
      <c r="K74" s="33">
        <f t="shared" si="18"/>
        <v>5278.0032</v>
      </c>
      <c r="L74" s="33">
        <f>K74/$K$128*100</f>
        <v>1.75463039091431</v>
      </c>
      <c r="M74" s="40"/>
    </row>
    <row r="75" spans="1:13" s="42" customFormat="1" ht="99.75">
      <c r="A75" s="29" t="s">
        <v>77</v>
      </c>
      <c r="B75" s="38">
        <v>84089</v>
      </c>
      <c r="C75" s="34" t="s">
        <v>162</v>
      </c>
      <c r="D75" s="29" t="s">
        <v>10</v>
      </c>
      <c r="E75" s="33">
        <v>21.6</v>
      </c>
      <c r="F75" s="113">
        <v>48.48</v>
      </c>
      <c r="G75" s="33">
        <f>E75*F75</f>
        <v>1047.168</v>
      </c>
      <c r="H75" s="113">
        <v>72.71</v>
      </c>
      <c r="I75" s="33">
        <f>E75*H75</f>
        <v>1570.536</v>
      </c>
      <c r="J75" s="33">
        <f>F75+H75</f>
        <v>121.19</v>
      </c>
      <c r="K75" s="33">
        <f>E75*J75</f>
        <v>2617.704</v>
      </c>
      <c r="L75" s="33">
        <f>K75/$K$128*100</f>
        <v>0.8702349768976936</v>
      </c>
      <c r="M75" s="40"/>
    </row>
    <row r="76" spans="1:13" s="42" customFormat="1" ht="15">
      <c r="A76" s="29"/>
      <c r="B76" s="55"/>
      <c r="C76" s="34"/>
      <c r="D76" s="29"/>
      <c r="E76" s="33"/>
      <c r="F76" s="113"/>
      <c r="G76" s="33"/>
      <c r="H76" s="113"/>
      <c r="I76" s="33"/>
      <c r="J76" s="33"/>
      <c r="K76" s="35">
        <f>SUM(K72:K75)</f>
        <v>28338.341600000003</v>
      </c>
      <c r="L76" s="33"/>
      <c r="M76" s="40"/>
    </row>
    <row r="77" spans="1:13" s="42" customFormat="1" ht="15">
      <c r="A77" s="69" t="s">
        <v>163</v>
      </c>
      <c r="B77" s="68"/>
      <c r="C77" s="70" t="s">
        <v>41</v>
      </c>
      <c r="D77" s="29"/>
      <c r="E77" s="33"/>
      <c r="F77" s="113"/>
      <c r="G77" s="33"/>
      <c r="H77" s="113"/>
      <c r="I77" s="33"/>
      <c r="J77" s="33"/>
      <c r="K77" s="33"/>
      <c r="L77" s="33"/>
      <c r="M77" s="40"/>
    </row>
    <row r="78" spans="1:13" s="42" customFormat="1" ht="42.75">
      <c r="A78" s="29" t="s">
        <v>164</v>
      </c>
      <c r="B78" s="38">
        <v>88485</v>
      </c>
      <c r="C78" s="34" t="s">
        <v>202</v>
      </c>
      <c r="D78" s="29" t="s">
        <v>9</v>
      </c>
      <c r="E78" s="33">
        <f>E60</f>
        <v>496.34999999999997</v>
      </c>
      <c r="F78" s="113">
        <v>0.89</v>
      </c>
      <c r="G78" s="33">
        <f aca="true" t="shared" si="19" ref="G78:G83">E78*F78</f>
        <v>441.75149999999996</v>
      </c>
      <c r="H78" s="113">
        <v>1.34</v>
      </c>
      <c r="I78" s="33">
        <f aca="true" t="shared" si="20" ref="I78:I83">E78*H78</f>
        <v>665.109</v>
      </c>
      <c r="J78" s="33">
        <f aca="true" t="shared" si="21" ref="J78:J83">F78+H78</f>
        <v>2.23</v>
      </c>
      <c r="K78" s="33">
        <f aca="true" t="shared" si="22" ref="K78:K83">E78*J78</f>
        <v>1106.8605</v>
      </c>
      <c r="L78" s="33">
        <f aca="true" t="shared" si="23" ref="L78:L83">K78/$K$128*100</f>
        <v>0.36796701294205514</v>
      </c>
      <c r="M78" s="40"/>
    </row>
    <row r="79" spans="1:13" s="42" customFormat="1" ht="42.75">
      <c r="A79" s="29" t="s">
        <v>165</v>
      </c>
      <c r="B79" s="38">
        <v>88497</v>
      </c>
      <c r="C79" s="34" t="s">
        <v>203</v>
      </c>
      <c r="D79" s="29" t="s">
        <v>9</v>
      </c>
      <c r="E79" s="33">
        <f>118.98+E57</f>
        <v>300.05</v>
      </c>
      <c r="F79" s="113">
        <v>6.03</v>
      </c>
      <c r="G79" s="33">
        <f t="shared" si="19"/>
        <v>1809.3015</v>
      </c>
      <c r="H79" s="113">
        <v>9.05</v>
      </c>
      <c r="I79" s="33">
        <f t="shared" si="20"/>
        <v>2715.4525000000003</v>
      </c>
      <c r="J79" s="33">
        <f t="shared" si="21"/>
        <v>15.080000000000002</v>
      </c>
      <c r="K79" s="33">
        <f t="shared" si="22"/>
        <v>4524.754000000001</v>
      </c>
      <c r="L79" s="33">
        <f t="shared" si="23"/>
        <v>1.5042186559892743</v>
      </c>
      <c r="M79" s="40"/>
    </row>
    <row r="80" spans="1:13" s="42" customFormat="1" ht="57">
      <c r="A80" s="29" t="s">
        <v>168</v>
      </c>
      <c r="B80" s="38">
        <v>88489</v>
      </c>
      <c r="C80" s="107" t="s">
        <v>57</v>
      </c>
      <c r="D80" s="29" t="s">
        <v>9</v>
      </c>
      <c r="E80" s="33">
        <f>E60</f>
        <v>496.34999999999997</v>
      </c>
      <c r="F80" s="113">
        <v>5.8</v>
      </c>
      <c r="G80" s="33">
        <f t="shared" si="19"/>
        <v>2878.83</v>
      </c>
      <c r="H80" s="113">
        <v>8.7</v>
      </c>
      <c r="I80" s="33">
        <f t="shared" si="20"/>
        <v>4318.244999999999</v>
      </c>
      <c r="J80" s="33">
        <f t="shared" si="21"/>
        <v>14.5</v>
      </c>
      <c r="K80" s="33">
        <f t="shared" si="22"/>
        <v>7197.075</v>
      </c>
      <c r="L80" s="33">
        <f t="shared" si="23"/>
        <v>2.3926106222689687</v>
      </c>
      <c r="M80" s="40"/>
    </row>
    <row r="81" spans="1:13" s="42" customFormat="1" ht="42.75">
      <c r="A81" s="29" t="s">
        <v>169</v>
      </c>
      <c r="B81" s="38">
        <v>88488</v>
      </c>
      <c r="C81" s="107" t="s">
        <v>56</v>
      </c>
      <c r="D81" s="29" t="s">
        <v>9</v>
      </c>
      <c r="E81" s="33">
        <f>E57</f>
        <v>181.07</v>
      </c>
      <c r="F81" s="113">
        <v>6.54</v>
      </c>
      <c r="G81" s="33">
        <f t="shared" si="19"/>
        <v>1184.1978</v>
      </c>
      <c r="H81" s="113">
        <v>9.81</v>
      </c>
      <c r="I81" s="33">
        <f t="shared" si="20"/>
        <v>1776.2967</v>
      </c>
      <c r="J81" s="33">
        <f t="shared" si="21"/>
        <v>16.35</v>
      </c>
      <c r="K81" s="33">
        <f t="shared" si="22"/>
        <v>2960.4945000000002</v>
      </c>
      <c r="L81" s="33">
        <f t="shared" si="23"/>
        <v>0.9841929655962817</v>
      </c>
      <c r="M81" s="40"/>
    </row>
    <row r="82" spans="1:13" s="42" customFormat="1" ht="28.5">
      <c r="A82" s="29" t="s">
        <v>170</v>
      </c>
      <c r="B82" s="55" t="s">
        <v>58</v>
      </c>
      <c r="C82" s="107" t="s">
        <v>59</v>
      </c>
      <c r="D82" s="29" t="s">
        <v>9</v>
      </c>
      <c r="E82" s="33">
        <v>5.04</v>
      </c>
      <c r="F82" s="113">
        <v>8</v>
      </c>
      <c r="G82" s="33">
        <f t="shared" si="19"/>
        <v>40.32</v>
      </c>
      <c r="H82" s="113">
        <v>12.01</v>
      </c>
      <c r="I82" s="33">
        <f t="shared" si="20"/>
        <v>60.5304</v>
      </c>
      <c r="J82" s="33">
        <f t="shared" si="21"/>
        <v>20.009999999999998</v>
      </c>
      <c r="K82" s="33">
        <f t="shared" si="22"/>
        <v>100.8504</v>
      </c>
      <c r="L82" s="33">
        <f t="shared" si="23"/>
        <v>0.033526917296273044</v>
      </c>
      <c r="M82" s="40"/>
    </row>
    <row r="83" spans="1:13" s="42" customFormat="1" ht="42.75">
      <c r="A83" s="29" t="s">
        <v>171</v>
      </c>
      <c r="B83" s="38" t="s">
        <v>166</v>
      </c>
      <c r="C83" s="34" t="s">
        <v>167</v>
      </c>
      <c r="D83" s="29" t="s">
        <v>9</v>
      </c>
      <c r="E83" s="33">
        <v>34.56</v>
      </c>
      <c r="F83" s="113">
        <v>12.41</v>
      </c>
      <c r="G83" s="33">
        <f t="shared" si="19"/>
        <v>428.88960000000003</v>
      </c>
      <c r="H83" s="113">
        <v>18.62</v>
      </c>
      <c r="I83" s="33">
        <f t="shared" si="20"/>
        <v>643.5072000000001</v>
      </c>
      <c r="J83" s="33">
        <f t="shared" si="21"/>
        <v>31.03</v>
      </c>
      <c r="K83" s="33">
        <f t="shared" si="22"/>
        <v>1072.3968000000002</v>
      </c>
      <c r="L83" s="33">
        <f t="shared" si="23"/>
        <v>0.35650982864111475</v>
      </c>
      <c r="M83" s="40"/>
    </row>
    <row r="84" spans="1:13" s="42" customFormat="1" ht="15">
      <c r="A84" s="29"/>
      <c r="B84" s="55"/>
      <c r="C84" s="34"/>
      <c r="D84" s="29"/>
      <c r="E84" s="33"/>
      <c r="F84" s="113"/>
      <c r="G84" s="33"/>
      <c r="H84" s="113"/>
      <c r="I84" s="33"/>
      <c r="J84" s="33"/>
      <c r="K84" s="35">
        <f>SUM(K78:K83)</f>
        <v>16962.4312</v>
      </c>
      <c r="L84" s="33"/>
      <c r="M84" s="40"/>
    </row>
    <row r="85" spans="1:13" s="20" customFormat="1" ht="15">
      <c r="A85" s="67" t="s">
        <v>172</v>
      </c>
      <c r="B85" s="68"/>
      <c r="C85" s="108" t="s">
        <v>84</v>
      </c>
      <c r="D85" s="29"/>
      <c r="E85" s="33"/>
      <c r="F85" s="113"/>
      <c r="G85" s="33"/>
      <c r="H85" s="113"/>
      <c r="I85" s="33"/>
      <c r="J85" s="33"/>
      <c r="K85" s="33"/>
      <c r="L85" s="33"/>
      <c r="M85" s="30"/>
    </row>
    <row r="86" spans="1:13" s="20" customFormat="1" ht="85.5">
      <c r="A86" s="29" t="s">
        <v>173</v>
      </c>
      <c r="B86" s="38">
        <v>91834</v>
      </c>
      <c r="C86" s="34" t="s">
        <v>90</v>
      </c>
      <c r="D86" s="29" t="s">
        <v>10</v>
      </c>
      <c r="E86" s="33">
        <v>100</v>
      </c>
      <c r="F86" s="113">
        <v>3.04</v>
      </c>
      <c r="G86" s="33">
        <f>E86*F86</f>
        <v>304</v>
      </c>
      <c r="H86" s="113">
        <v>4.57</v>
      </c>
      <c r="I86" s="33">
        <f>E86*H86</f>
        <v>457</v>
      </c>
      <c r="J86" s="33">
        <f>F86+H86</f>
        <v>7.61</v>
      </c>
      <c r="K86" s="33">
        <f>E86*J86</f>
        <v>761</v>
      </c>
      <c r="L86" s="33">
        <f aca="true" t="shared" si="24" ref="L86:L92">K86/$K$128*100</f>
        <v>0.2529884270410806</v>
      </c>
      <c r="M86" s="30"/>
    </row>
    <row r="87" spans="1:13" s="20" customFormat="1" ht="85.5">
      <c r="A87" s="29" t="s">
        <v>174</v>
      </c>
      <c r="B87" s="38">
        <v>91836</v>
      </c>
      <c r="C87" s="34" t="s">
        <v>91</v>
      </c>
      <c r="D87" s="29" t="s">
        <v>10</v>
      </c>
      <c r="E87" s="33">
        <v>35</v>
      </c>
      <c r="F87" s="113">
        <v>3.96</v>
      </c>
      <c r="G87" s="33">
        <f aca="true" t="shared" si="25" ref="G87:G92">E87*F87</f>
        <v>138.6</v>
      </c>
      <c r="H87" s="113">
        <v>5.94</v>
      </c>
      <c r="I87" s="33">
        <f aca="true" t="shared" si="26" ref="I87:I92">E87*H87</f>
        <v>207.9</v>
      </c>
      <c r="J87" s="33">
        <f aca="true" t="shared" si="27" ref="J87:J92">F87+H87</f>
        <v>9.9</v>
      </c>
      <c r="K87" s="33">
        <f aca="true" t="shared" si="28" ref="K87:K92">E87*J87</f>
        <v>346.5</v>
      </c>
      <c r="L87" s="33">
        <f t="shared" si="24"/>
        <v>0.11519118261463131</v>
      </c>
      <c r="M87" s="30"/>
    </row>
    <row r="88" spans="1:13" s="20" customFormat="1" ht="71.25">
      <c r="A88" s="29" t="s">
        <v>175</v>
      </c>
      <c r="B88" s="38">
        <v>91927</v>
      </c>
      <c r="C88" s="34" t="s">
        <v>92</v>
      </c>
      <c r="D88" s="29" t="s">
        <v>10</v>
      </c>
      <c r="E88" s="33">
        <v>300</v>
      </c>
      <c r="F88" s="113">
        <v>1.61</v>
      </c>
      <c r="G88" s="33">
        <f t="shared" si="25"/>
        <v>483.00000000000006</v>
      </c>
      <c r="H88" s="113">
        <v>2.42</v>
      </c>
      <c r="I88" s="33">
        <f t="shared" si="26"/>
        <v>726</v>
      </c>
      <c r="J88" s="33">
        <f t="shared" si="27"/>
        <v>4.03</v>
      </c>
      <c r="K88" s="33">
        <f t="shared" si="28"/>
        <v>1209</v>
      </c>
      <c r="L88" s="33">
        <f t="shared" si="24"/>
        <v>0.40192248133070485</v>
      </c>
      <c r="M88" s="30"/>
    </row>
    <row r="89" spans="1:13" s="20" customFormat="1" ht="71.25">
      <c r="A89" s="29" t="s">
        <v>176</v>
      </c>
      <c r="B89" s="38">
        <v>91928</v>
      </c>
      <c r="C89" s="34" t="s">
        <v>93</v>
      </c>
      <c r="D89" s="29" t="s">
        <v>10</v>
      </c>
      <c r="E89" s="33">
        <v>100</v>
      </c>
      <c r="F89" s="113">
        <v>2.01</v>
      </c>
      <c r="G89" s="33">
        <f t="shared" si="25"/>
        <v>200.99999999999997</v>
      </c>
      <c r="H89" s="113">
        <v>3.02</v>
      </c>
      <c r="I89" s="33">
        <f t="shared" si="26"/>
        <v>302</v>
      </c>
      <c r="J89" s="33">
        <f t="shared" si="27"/>
        <v>5.029999999999999</v>
      </c>
      <c r="K89" s="33">
        <f t="shared" si="28"/>
        <v>502.99999999999994</v>
      </c>
      <c r="L89" s="33">
        <f t="shared" si="24"/>
        <v>0.1672183689903594</v>
      </c>
      <c r="M89" s="30"/>
    </row>
    <row r="90" spans="1:13" s="20" customFormat="1" ht="71.25">
      <c r="A90" s="29" t="s">
        <v>177</v>
      </c>
      <c r="B90" s="38">
        <v>93143</v>
      </c>
      <c r="C90" s="107" t="s">
        <v>80</v>
      </c>
      <c r="D90" s="109" t="s">
        <v>60</v>
      </c>
      <c r="E90" s="33">
        <v>13</v>
      </c>
      <c r="F90" s="113">
        <v>65.81</v>
      </c>
      <c r="G90" s="33">
        <f t="shared" si="25"/>
        <v>855.53</v>
      </c>
      <c r="H90" s="113">
        <v>98.71</v>
      </c>
      <c r="I90" s="33">
        <f t="shared" si="26"/>
        <v>1283.23</v>
      </c>
      <c r="J90" s="33">
        <f t="shared" si="27"/>
        <v>164.51999999999998</v>
      </c>
      <c r="K90" s="33">
        <f t="shared" si="28"/>
        <v>2138.7599999999998</v>
      </c>
      <c r="L90" s="33">
        <f t="shared" si="24"/>
        <v>0.7110138347153502</v>
      </c>
      <c r="M90" s="30"/>
    </row>
    <row r="91" spans="1:13" s="53" customFormat="1" ht="91.5" customHeight="1">
      <c r="A91" s="29" t="s">
        <v>178</v>
      </c>
      <c r="B91" s="38">
        <v>93128</v>
      </c>
      <c r="C91" s="107" t="s">
        <v>81</v>
      </c>
      <c r="D91" s="109" t="s">
        <v>60</v>
      </c>
      <c r="E91" s="33">
        <v>2</v>
      </c>
      <c r="F91" s="113">
        <v>54.33</v>
      </c>
      <c r="G91" s="33">
        <f t="shared" si="25"/>
        <v>108.66</v>
      </c>
      <c r="H91" s="113">
        <v>81.5</v>
      </c>
      <c r="I91" s="33">
        <f t="shared" si="26"/>
        <v>163</v>
      </c>
      <c r="J91" s="33">
        <f t="shared" si="27"/>
        <v>135.82999999999998</v>
      </c>
      <c r="K91" s="33">
        <f t="shared" si="28"/>
        <v>271.65999999999997</v>
      </c>
      <c r="L91" s="33">
        <f t="shared" si="24"/>
        <v>0.0903112169382128</v>
      </c>
      <c r="M91" s="40"/>
    </row>
    <row r="92" spans="1:13" s="53" customFormat="1" ht="85.5">
      <c r="A92" s="29" t="s">
        <v>180</v>
      </c>
      <c r="B92" s="38" t="s">
        <v>179</v>
      </c>
      <c r="C92" s="34" t="s">
        <v>181</v>
      </c>
      <c r="D92" s="109" t="s">
        <v>60</v>
      </c>
      <c r="E92" s="33">
        <v>12</v>
      </c>
      <c r="F92" s="113">
        <v>83.91</v>
      </c>
      <c r="G92" s="33">
        <f t="shared" si="25"/>
        <v>1006.92</v>
      </c>
      <c r="H92" s="113">
        <v>125.87</v>
      </c>
      <c r="I92" s="33">
        <f t="shared" si="26"/>
        <v>1510.44</v>
      </c>
      <c r="J92" s="33">
        <f t="shared" si="27"/>
        <v>209.78</v>
      </c>
      <c r="K92" s="33">
        <f t="shared" si="28"/>
        <v>2517.36</v>
      </c>
      <c r="L92" s="33">
        <f t="shared" si="24"/>
        <v>0.8368764082735014</v>
      </c>
      <c r="M92" s="40"/>
    </row>
    <row r="93" spans="1:13" s="20" customFormat="1" ht="15">
      <c r="A93" s="18"/>
      <c r="B93" s="38"/>
      <c r="C93" s="110"/>
      <c r="D93" s="29"/>
      <c r="E93" s="33"/>
      <c r="F93" s="105"/>
      <c r="G93" s="33"/>
      <c r="H93" s="105"/>
      <c r="I93" s="33"/>
      <c r="J93" s="33"/>
      <c r="K93" s="35">
        <f>SUM(K86:K92)</f>
        <v>7747.280000000001</v>
      </c>
      <c r="L93" s="33"/>
      <c r="M93" s="30"/>
    </row>
    <row r="94" spans="1:13" s="20" customFormat="1" ht="16.5" customHeight="1">
      <c r="A94" s="67" t="s">
        <v>182</v>
      </c>
      <c r="B94" s="68"/>
      <c r="C94" s="111" t="s">
        <v>42</v>
      </c>
      <c r="D94" s="111"/>
      <c r="E94" s="111"/>
      <c r="F94" s="105"/>
      <c r="G94" s="33"/>
      <c r="H94" s="105"/>
      <c r="I94" s="33"/>
      <c r="J94" s="33"/>
      <c r="K94" s="33"/>
      <c r="L94" s="33"/>
      <c r="M94" s="30"/>
    </row>
    <row r="95" spans="1:13" s="52" customFormat="1" ht="64.5" customHeight="1">
      <c r="A95" s="29" t="s">
        <v>183</v>
      </c>
      <c r="B95" s="38">
        <v>89356</v>
      </c>
      <c r="C95" s="34" t="s">
        <v>78</v>
      </c>
      <c r="D95" s="109" t="s">
        <v>10</v>
      </c>
      <c r="E95" s="39">
        <v>25</v>
      </c>
      <c r="F95" s="55">
        <v>7.96</v>
      </c>
      <c r="G95" s="39">
        <f>E95*F95</f>
        <v>199</v>
      </c>
      <c r="H95" s="55">
        <v>11.95</v>
      </c>
      <c r="I95" s="39">
        <f>E95*H95</f>
        <v>298.75</v>
      </c>
      <c r="J95" s="39">
        <f>F95+H95</f>
        <v>19.91</v>
      </c>
      <c r="K95" s="39">
        <f>E95*J95</f>
        <v>497.75</v>
      </c>
      <c r="L95" s="39">
        <f>K95/$K$128*100</f>
        <v>0.1654730480416529</v>
      </c>
      <c r="M95" s="30"/>
    </row>
    <row r="96" spans="1:13" s="52" customFormat="1" ht="85.5">
      <c r="A96" s="29" t="s">
        <v>184</v>
      </c>
      <c r="B96" s="38">
        <v>89984</v>
      </c>
      <c r="C96" s="107" t="s">
        <v>79</v>
      </c>
      <c r="D96" s="109" t="s">
        <v>54</v>
      </c>
      <c r="E96" s="39">
        <v>2</v>
      </c>
      <c r="F96" s="55">
        <v>45.14</v>
      </c>
      <c r="G96" s="39">
        <f>E96*F96</f>
        <v>90.28</v>
      </c>
      <c r="H96" s="55">
        <v>67.7</v>
      </c>
      <c r="I96" s="39">
        <f>E96*H96</f>
        <v>135.4</v>
      </c>
      <c r="J96" s="39">
        <f>F96+H96</f>
        <v>112.84</v>
      </c>
      <c r="K96" s="39">
        <f>E96*J96</f>
        <v>225.68</v>
      </c>
      <c r="L96" s="39">
        <f>K96/$K$128*100</f>
        <v>0.07502552984839825</v>
      </c>
      <c r="M96" s="30"/>
    </row>
    <row r="97" spans="1:13" s="52" customFormat="1" ht="85.5">
      <c r="A97" s="29" t="s">
        <v>185</v>
      </c>
      <c r="B97" s="38">
        <v>89711</v>
      </c>
      <c r="C97" s="107" t="s">
        <v>61</v>
      </c>
      <c r="D97" s="109" t="s">
        <v>10</v>
      </c>
      <c r="E97" s="39">
        <v>25</v>
      </c>
      <c r="F97" s="55">
        <v>7.17</v>
      </c>
      <c r="G97" s="39">
        <f>E97*F97</f>
        <v>179.25</v>
      </c>
      <c r="H97" s="55">
        <v>10.75</v>
      </c>
      <c r="I97" s="39">
        <f>E97*H97</f>
        <v>268.75</v>
      </c>
      <c r="J97" s="39">
        <f>F97+H97</f>
        <v>17.92</v>
      </c>
      <c r="K97" s="39">
        <f>E97*J97</f>
        <v>448.00000000000006</v>
      </c>
      <c r="L97" s="39">
        <f>K97/$K$128*100</f>
        <v>0.1489340542896243</v>
      </c>
      <c r="M97" s="30"/>
    </row>
    <row r="98" spans="1:13" s="52" customFormat="1" ht="90" customHeight="1">
      <c r="A98" s="29" t="s">
        <v>186</v>
      </c>
      <c r="B98" s="38">
        <v>86938</v>
      </c>
      <c r="C98" s="34" t="s">
        <v>187</v>
      </c>
      <c r="D98" s="29" t="s">
        <v>60</v>
      </c>
      <c r="E98" s="39">
        <v>2</v>
      </c>
      <c r="F98" s="55">
        <v>159.68</v>
      </c>
      <c r="G98" s="39">
        <f>E98*F98</f>
        <v>319.36</v>
      </c>
      <c r="H98" s="55">
        <v>239.51</v>
      </c>
      <c r="I98" s="39">
        <f>E98*H98</f>
        <v>479.02</v>
      </c>
      <c r="J98" s="39">
        <f>F98+H98</f>
        <v>399.19</v>
      </c>
      <c r="K98" s="39">
        <f>E98*J98</f>
        <v>798.38</v>
      </c>
      <c r="L98" s="39">
        <f>K98/$K$128*100</f>
        <v>0.2654151121958711</v>
      </c>
      <c r="M98" s="30"/>
    </row>
    <row r="99" spans="1:13" s="52" customFormat="1" ht="60.75" customHeight="1">
      <c r="A99" s="29" t="s">
        <v>189</v>
      </c>
      <c r="B99" s="60">
        <v>0</v>
      </c>
      <c r="C99" s="34" t="s">
        <v>188</v>
      </c>
      <c r="D99" s="29" t="s">
        <v>9</v>
      </c>
      <c r="E99" s="39">
        <v>4</v>
      </c>
      <c r="F99" s="55">
        <v>186.63</v>
      </c>
      <c r="G99" s="39">
        <f>E99*F99</f>
        <v>746.52</v>
      </c>
      <c r="H99" s="55">
        <v>279.95</v>
      </c>
      <c r="I99" s="39">
        <f>E99*H99</f>
        <v>1119.8</v>
      </c>
      <c r="J99" s="39">
        <f>F99+H99</f>
        <v>466.58</v>
      </c>
      <c r="K99" s="39">
        <f>E99*J99</f>
        <v>1866.32</v>
      </c>
      <c r="L99" s="39">
        <f>K99/$K$128*100</f>
        <v>0.6204433129504724</v>
      </c>
      <c r="M99" s="30"/>
    </row>
    <row r="100" spans="1:13" s="20" customFormat="1" ht="15">
      <c r="A100" s="18"/>
      <c r="B100" s="38"/>
      <c r="C100" s="110"/>
      <c r="D100" s="29"/>
      <c r="E100" s="33"/>
      <c r="F100" s="105"/>
      <c r="G100" s="33"/>
      <c r="H100" s="105"/>
      <c r="I100" s="33"/>
      <c r="J100" s="33"/>
      <c r="K100" s="35">
        <f>SUM(K95:K99)</f>
        <v>3836.13</v>
      </c>
      <c r="L100" s="33"/>
      <c r="M100" s="30"/>
    </row>
    <row r="101" spans="1:13" s="20" customFormat="1" ht="15">
      <c r="A101" s="67" t="s">
        <v>192</v>
      </c>
      <c r="B101" s="68"/>
      <c r="C101" s="112" t="s">
        <v>211</v>
      </c>
      <c r="D101" s="33"/>
      <c r="E101" s="33"/>
      <c r="F101" s="105"/>
      <c r="G101" s="33"/>
      <c r="H101" s="105"/>
      <c r="I101" s="33"/>
      <c r="J101" s="33"/>
      <c r="K101" s="33"/>
      <c r="L101" s="33"/>
      <c r="M101" s="30"/>
    </row>
    <row r="102" spans="1:13" s="20" customFormat="1" ht="14.25">
      <c r="A102" s="33" t="s">
        <v>193</v>
      </c>
      <c r="B102" s="38"/>
      <c r="C102" s="34" t="s">
        <v>219</v>
      </c>
      <c r="D102" s="33" t="s">
        <v>9</v>
      </c>
      <c r="E102" s="33">
        <v>61.2</v>
      </c>
      <c r="F102" s="100">
        <v>2.67</v>
      </c>
      <c r="G102" s="33">
        <f aca="true" t="shared" si="29" ref="G102:G111">E102*F102</f>
        <v>163.404</v>
      </c>
      <c r="H102" s="115">
        <v>4</v>
      </c>
      <c r="I102" s="33">
        <f aca="true" t="shared" si="30" ref="I102:I111">E102*H102</f>
        <v>244.8</v>
      </c>
      <c r="J102" s="33">
        <f aca="true" t="shared" si="31" ref="J102:J111">F102+H102</f>
        <v>6.67</v>
      </c>
      <c r="K102" s="33">
        <f aca="true" t="shared" si="32" ref="K102:K111">E102*J102</f>
        <v>408.204</v>
      </c>
      <c r="L102" s="33">
        <f aca="true" t="shared" si="33" ref="L102:L120">K102/$K$128*100</f>
        <v>0.13570418905634332</v>
      </c>
      <c r="M102" s="30"/>
    </row>
    <row r="103" spans="1:13" s="20" customFormat="1" ht="28.5">
      <c r="A103" s="33" t="s">
        <v>194</v>
      </c>
      <c r="B103" s="38"/>
      <c r="C103" s="34" t="s">
        <v>220</v>
      </c>
      <c r="D103" s="33" t="s">
        <v>9</v>
      </c>
      <c r="E103" s="43">
        <v>150</v>
      </c>
      <c r="F103" s="100">
        <v>3.39</v>
      </c>
      <c r="G103" s="43">
        <f t="shared" si="29"/>
        <v>508.5</v>
      </c>
      <c r="H103" s="100">
        <v>5.09</v>
      </c>
      <c r="I103" s="43">
        <f t="shared" si="30"/>
        <v>763.5</v>
      </c>
      <c r="J103" s="43">
        <f t="shared" si="31"/>
        <v>8.48</v>
      </c>
      <c r="K103" s="43">
        <f t="shared" si="32"/>
        <v>1272</v>
      </c>
      <c r="L103" s="33">
        <f t="shared" si="33"/>
        <v>0.4228663327151833</v>
      </c>
      <c r="M103" s="30"/>
    </row>
    <row r="104" spans="1:13" s="42" customFormat="1" ht="28.5">
      <c r="A104" s="33" t="s">
        <v>225</v>
      </c>
      <c r="B104" s="55"/>
      <c r="C104" s="34" t="s">
        <v>233</v>
      </c>
      <c r="D104" s="29" t="s">
        <v>11</v>
      </c>
      <c r="E104" s="33">
        <v>100</v>
      </c>
      <c r="F104" s="100">
        <v>16.97</v>
      </c>
      <c r="G104" s="33">
        <f>E104*F104</f>
        <v>1697</v>
      </c>
      <c r="H104" s="100">
        <v>25.45</v>
      </c>
      <c r="I104" s="33">
        <f>E104*H104</f>
        <v>2545</v>
      </c>
      <c r="J104" s="33">
        <f>F104+H104</f>
        <v>42.42</v>
      </c>
      <c r="K104" s="33">
        <f>E104*J104</f>
        <v>4242</v>
      </c>
      <c r="L104" s="33">
        <f t="shared" si="33"/>
        <v>1.4102193265548801</v>
      </c>
      <c r="M104" s="40"/>
    </row>
    <row r="105" spans="1:13" s="42" customFormat="1" ht="42.75">
      <c r="A105" s="33" t="s">
        <v>212</v>
      </c>
      <c r="B105" s="55">
        <v>93358</v>
      </c>
      <c r="C105" s="34" t="s">
        <v>102</v>
      </c>
      <c r="D105" s="29" t="s">
        <v>11</v>
      </c>
      <c r="E105" s="33">
        <v>4.6</v>
      </c>
      <c r="F105" s="100">
        <v>33.29</v>
      </c>
      <c r="G105" s="33">
        <f t="shared" si="29"/>
        <v>153.134</v>
      </c>
      <c r="H105" s="100">
        <v>49.93</v>
      </c>
      <c r="I105" s="33">
        <f t="shared" si="30"/>
        <v>229.67799999999997</v>
      </c>
      <c r="J105" s="33">
        <f t="shared" si="31"/>
        <v>83.22</v>
      </c>
      <c r="K105" s="33">
        <f t="shared" si="32"/>
        <v>382.81199999999995</v>
      </c>
      <c r="L105" s="33">
        <f t="shared" si="33"/>
        <v>0.1272628196221421</v>
      </c>
      <c r="M105" s="40"/>
    </row>
    <row r="106" spans="1:13" s="42" customFormat="1" ht="71.25">
      <c r="A106" s="33" t="s">
        <v>213</v>
      </c>
      <c r="B106" s="38">
        <v>73361</v>
      </c>
      <c r="C106" s="34" t="s">
        <v>107</v>
      </c>
      <c r="D106" s="29" t="s">
        <v>11</v>
      </c>
      <c r="E106" s="33">
        <v>4.6</v>
      </c>
      <c r="F106" s="100">
        <v>184.22</v>
      </c>
      <c r="G106" s="33">
        <f t="shared" si="29"/>
        <v>847.4119999999999</v>
      </c>
      <c r="H106" s="100">
        <v>276.34</v>
      </c>
      <c r="I106" s="33">
        <f t="shared" si="30"/>
        <v>1271.1639999999998</v>
      </c>
      <c r="J106" s="33">
        <f t="shared" si="31"/>
        <v>460.55999999999995</v>
      </c>
      <c r="K106" s="33">
        <f t="shared" si="32"/>
        <v>2118.5759999999996</v>
      </c>
      <c r="L106" s="33">
        <f t="shared" si="33"/>
        <v>0.7043038236622657</v>
      </c>
      <c r="M106" s="40"/>
    </row>
    <row r="107" spans="1:13" s="42" customFormat="1" ht="71.25">
      <c r="A107" s="33" t="s">
        <v>214</v>
      </c>
      <c r="B107" s="55">
        <v>72131</v>
      </c>
      <c r="C107" s="34" t="s">
        <v>115</v>
      </c>
      <c r="D107" s="29" t="s">
        <v>9</v>
      </c>
      <c r="E107" s="33">
        <v>31.75</v>
      </c>
      <c r="F107" s="100">
        <v>59.37</v>
      </c>
      <c r="G107" s="33">
        <f t="shared" si="29"/>
        <v>1884.9975</v>
      </c>
      <c r="H107" s="100">
        <v>89.05</v>
      </c>
      <c r="I107" s="33">
        <f t="shared" si="30"/>
        <v>2827.3375</v>
      </c>
      <c r="J107" s="33">
        <f t="shared" si="31"/>
        <v>148.42</v>
      </c>
      <c r="K107" s="33">
        <f t="shared" si="32"/>
        <v>4712.335</v>
      </c>
      <c r="L107" s="33">
        <f t="shared" si="33"/>
        <v>1.5665784748234304</v>
      </c>
      <c r="M107" s="40"/>
    </row>
    <row r="108" spans="1:13" s="42" customFormat="1" ht="114">
      <c r="A108" s="33" t="s">
        <v>215</v>
      </c>
      <c r="B108" s="55">
        <v>87905</v>
      </c>
      <c r="C108" s="34" t="s">
        <v>147</v>
      </c>
      <c r="D108" s="29" t="s">
        <v>9</v>
      </c>
      <c r="E108" s="33">
        <f>E107</f>
        <v>31.75</v>
      </c>
      <c r="F108" s="100">
        <v>3.35</v>
      </c>
      <c r="G108" s="33">
        <f t="shared" si="29"/>
        <v>106.3625</v>
      </c>
      <c r="H108" s="100">
        <v>5.03</v>
      </c>
      <c r="I108" s="33">
        <f t="shared" si="30"/>
        <v>159.70250000000001</v>
      </c>
      <c r="J108" s="33">
        <f t="shared" si="31"/>
        <v>8.38</v>
      </c>
      <c r="K108" s="33">
        <f t="shared" si="32"/>
        <v>266.065</v>
      </c>
      <c r="L108" s="33">
        <f t="shared" si="33"/>
        <v>0.08845120347001985</v>
      </c>
      <c r="M108" s="40"/>
    </row>
    <row r="109" spans="1:13" s="42" customFormat="1" ht="85.5">
      <c r="A109" s="33" t="s">
        <v>216</v>
      </c>
      <c r="B109" s="38">
        <v>87882</v>
      </c>
      <c r="C109" s="34" t="s">
        <v>148</v>
      </c>
      <c r="D109" s="29" t="s">
        <v>9</v>
      </c>
      <c r="E109" s="33">
        <f>E108</f>
        <v>31.75</v>
      </c>
      <c r="F109" s="100">
        <v>1.9</v>
      </c>
      <c r="G109" s="33">
        <f t="shared" si="29"/>
        <v>60.324999999999996</v>
      </c>
      <c r="H109" s="100">
        <v>2.84</v>
      </c>
      <c r="I109" s="33">
        <f t="shared" si="30"/>
        <v>90.17</v>
      </c>
      <c r="J109" s="33">
        <f t="shared" si="31"/>
        <v>4.74</v>
      </c>
      <c r="K109" s="33">
        <f t="shared" si="32"/>
        <v>150.495</v>
      </c>
      <c r="L109" s="33">
        <f t="shared" si="33"/>
        <v>0.05003087165249332</v>
      </c>
      <c r="M109" s="40"/>
    </row>
    <row r="110" spans="1:13" s="42" customFormat="1" ht="114">
      <c r="A110" s="33" t="s">
        <v>217</v>
      </c>
      <c r="B110" s="38">
        <v>87777</v>
      </c>
      <c r="C110" s="34" t="s">
        <v>150</v>
      </c>
      <c r="D110" s="29" t="s">
        <v>9</v>
      </c>
      <c r="E110" s="33">
        <f>E109</f>
        <v>31.75</v>
      </c>
      <c r="F110" s="100">
        <v>14.54</v>
      </c>
      <c r="G110" s="33">
        <f t="shared" si="29"/>
        <v>461.645</v>
      </c>
      <c r="H110" s="100">
        <v>21.81</v>
      </c>
      <c r="I110" s="33">
        <f t="shared" si="30"/>
        <v>692.4675</v>
      </c>
      <c r="J110" s="33">
        <f t="shared" si="31"/>
        <v>36.349999999999994</v>
      </c>
      <c r="K110" s="33">
        <f t="shared" si="32"/>
        <v>1154.1124999999997</v>
      </c>
      <c r="L110" s="33">
        <f t="shared" si="33"/>
        <v>0.38367556636458483</v>
      </c>
      <c r="M110" s="40"/>
    </row>
    <row r="111" spans="1:13" s="42" customFormat="1" ht="42.75">
      <c r="A111" s="33" t="s">
        <v>218</v>
      </c>
      <c r="B111" s="38">
        <v>88485</v>
      </c>
      <c r="C111" s="34" t="s">
        <v>202</v>
      </c>
      <c r="D111" s="29" t="s">
        <v>9</v>
      </c>
      <c r="E111" s="33">
        <f>E110</f>
        <v>31.75</v>
      </c>
      <c r="F111" s="100">
        <v>0.89</v>
      </c>
      <c r="G111" s="33">
        <f t="shared" si="29"/>
        <v>28.2575</v>
      </c>
      <c r="H111" s="100">
        <v>1.34</v>
      </c>
      <c r="I111" s="33">
        <f t="shared" si="30"/>
        <v>42.545</v>
      </c>
      <c r="J111" s="33">
        <f t="shared" si="31"/>
        <v>2.23</v>
      </c>
      <c r="K111" s="33">
        <f t="shared" si="32"/>
        <v>70.8025</v>
      </c>
      <c r="L111" s="33">
        <f t="shared" si="33"/>
        <v>0.023537730756341795</v>
      </c>
      <c r="M111" s="40"/>
    </row>
    <row r="112" spans="1:13" s="42" customFormat="1" ht="57">
      <c r="A112" s="33" t="s">
        <v>226</v>
      </c>
      <c r="B112" s="38">
        <v>88489</v>
      </c>
      <c r="C112" s="107" t="s">
        <v>57</v>
      </c>
      <c r="D112" s="29" t="s">
        <v>9</v>
      </c>
      <c r="E112" s="33">
        <f>E111</f>
        <v>31.75</v>
      </c>
      <c r="F112" s="100">
        <v>5.8</v>
      </c>
      <c r="G112" s="33">
        <f aca="true" t="shared" si="34" ref="G112:G117">E112*F112</f>
        <v>184.15</v>
      </c>
      <c r="H112" s="100">
        <v>8.7</v>
      </c>
      <c r="I112" s="33">
        <f aca="true" t="shared" si="35" ref="I112:I117">E112*H112</f>
        <v>276.22499999999997</v>
      </c>
      <c r="J112" s="33">
        <f aca="true" t="shared" si="36" ref="J112:J117">F112+H112</f>
        <v>14.5</v>
      </c>
      <c r="K112" s="33">
        <f aca="true" t="shared" si="37" ref="K112:K117">E112*J112</f>
        <v>460.375</v>
      </c>
      <c r="L112" s="33">
        <f t="shared" si="33"/>
        <v>0.1530480250972897</v>
      </c>
      <c r="M112" s="40"/>
    </row>
    <row r="113" spans="1:13" s="20" customFormat="1" ht="71.25">
      <c r="A113" s="33" t="s">
        <v>227</v>
      </c>
      <c r="B113" s="38">
        <v>92396</v>
      </c>
      <c r="C113" s="34" t="s">
        <v>243</v>
      </c>
      <c r="D113" s="29" t="s">
        <v>9</v>
      </c>
      <c r="E113" s="102">
        <v>275</v>
      </c>
      <c r="F113" s="101">
        <v>24.2</v>
      </c>
      <c r="G113" s="102">
        <f t="shared" si="34"/>
        <v>6655</v>
      </c>
      <c r="H113" s="101">
        <v>36.3</v>
      </c>
      <c r="I113" s="102">
        <f t="shared" si="35"/>
        <v>9982.5</v>
      </c>
      <c r="J113" s="102">
        <f t="shared" si="36"/>
        <v>60.5</v>
      </c>
      <c r="K113" s="102">
        <f t="shared" si="37"/>
        <v>16637.5</v>
      </c>
      <c r="L113" s="39">
        <f t="shared" si="33"/>
        <v>5.531005196972376</v>
      </c>
      <c r="M113" s="30"/>
    </row>
    <row r="114" spans="1:13" s="20" customFormat="1" ht="18" customHeight="1">
      <c r="A114" s="33" t="s">
        <v>228</v>
      </c>
      <c r="B114" s="38"/>
      <c r="C114" s="107" t="s">
        <v>221</v>
      </c>
      <c r="D114" s="29" t="s">
        <v>9</v>
      </c>
      <c r="E114" s="102">
        <v>50.43</v>
      </c>
      <c r="F114" s="101">
        <v>24.24</v>
      </c>
      <c r="G114" s="102">
        <f t="shared" si="34"/>
        <v>1222.4232</v>
      </c>
      <c r="H114" s="101">
        <v>36.36</v>
      </c>
      <c r="I114" s="102">
        <f t="shared" si="35"/>
        <v>1833.6348</v>
      </c>
      <c r="J114" s="102">
        <f t="shared" si="36"/>
        <v>60.599999999999994</v>
      </c>
      <c r="K114" s="102">
        <f t="shared" si="37"/>
        <v>3056.0579999999995</v>
      </c>
      <c r="L114" s="39">
        <f t="shared" si="33"/>
        <v>1.0159622948308942</v>
      </c>
      <c r="M114" s="30"/>
    </row>
    <row r="115" spans="1:13" s="20" customFormat="1" ht="14.25">
      <c r="A115" s="33" t="s">
        <v>229</v>
      </c>
      <c r="B115" s="38"/>
      <c r="C115" s="107" t="s">
        <v>222</v>
      </c>
      <c r="D115" s="109" t="s">
        <v>12</v>
      </c>
      <c r="E115" s="102">
        <v>1</v>
      </c>
      <c r="F115" s="101">
        <v>424.17</v>
      </c>
      <c r="G115" s="102">
        <f t="shared" si="34"/>
        <v>424.17</v>
      </c>
      <c r="H115" s="101">
        <v>636.25</v>
      </c>
      <c r="I115" s="102">
        <f t="shared" si="35"/>
        <v>636.25</v>
      </c>
      <c r="J115" s="102">
        <f t="shared" si="36"/>
        <v>1060.42</v>
      </c>
      <c r="K115" s="102">
        <f t="shared" si="37"/>
        <v>1060.42</v>
      </c>
      <c r="L115" s="39">
        <f t="shared" si="33"/>
        <v>0.3525282362718826</v>
      </c>
      <c r="M115" s="30"/>
    </row>
    <row r="116" spans="1:13" s="20" customFormat="1" ht="28.5">
      <c r="A116" s="33" t="s">
        <v>230</v>
      </c>
      <c r="B116" s="38"/>
      <c r="C116" s="107" t="s">
        <v>224</v>
      </c>
      <c r="D116" s="109" t="s">
        <v>12</v>
      </c>
      <c r="E116" s="102">
        <v>1</v>
      </c>
      <c r="F116" s="101">
        <v>1696.66</v>
      </c>
      <c r="G116" s="102">
        <f t="shared" si="34"/>
        <v>1696.66</v>
      </c>
      <c r="H116" s="101">
        <v>2544.99</v>
      </c>
      <c r="I116" s="102">
        <f t="shared" si="35"/>
        <v>2544.99</v>
      </c>
      <c r="J116" s="102">
        <f t="shared" si="36"/>
        <v>4241.65</v>
      </c>
      <c r="K116" s="102">
        <f t="shared" si="37"/>
        <v>4241.65</v>
      </c>
      <c r="L116" s="39">
        <f t="shared" si="33"/>
        <v>1.4101029718249662</v>
      </c>
      <c r="M116" s="30"/>
    </row>
    <row r="117" spans="1:13" s="20" customFormat="1" ht="27.75" customHeight="1">
      <c r="A117" s="33" t="s">
        <v>232</v>
      </c>
      <c r="B117" s="38"/>
      <c r="C117" s="107" t="s">
        <v>223</v>
      </c>
      <c r="D117" s="29" t="s">
        <v>9</v>
      </c>
      <c r="E117" s="39">
        <v>40.65</v>
      </c>
      <c r="F117" s="101">
        <v>89.68</v>
      </c>
      <c r="G117" s="102">
        <f t="shared" si="34"/>
        <v>3645.492</v>
      </c>
      <c r="H117" s="101">
        <v>134.52</v>
      </c>
      <c r="I117" s="102">
        <f t="shared" si="35"/>
        <v>5468.238</v>
      </c>
      <c r="J117" s="102">
        <f t="shared" si="36"/>
        <v>224.20000000000002</v>
      </c>
      <c r="K117" s="102">
        <f t="shared" si="37"/>
        <v>9113.73</v>
      </c>
      <c r="L117" s="39">
        <f t="shared" si="33"/>
        <v>3.029787407591468</v>
      </c>
      <c r="M117" s="30"/>
    </row>
    <row r="118" spans="1:13" s="20" customFormat="1" ht="14.25">
      <c r="A118" s="33" t="s">
        <v>234</v>
      </c>
      <c r="B118" s="38"/>
      <c r="C118" s="34" t="s">
        <v>231</v>
      </c>
      <c r="D118" s="29" t="s">
        <v>11</v>
      </c>
      <c r="E118" s="39">
        <v>1.8</v>
      </c>
      <c r="F118" s="101">
        <v>363.57</v>
      </c>
      <c r="G118" s="102">
        <f>E118*F118</f>
        <v>654.426</v>
      </c>
      <c r="H118" s="101">
        <v>545.36</v>
      </c>
      <c r="I118" s="102">
        <f>E118*H118</f>
        <v>981.648</v>
      </c>
      <c r="J118" s="102">
        <f>F118+H118</f>
        <v>908.9300000000001</v>
      </c>
      <c r="K118" s="102">
        <f>E118*J118</f>
        <v>1636.074</v>
      </c>
      <c r="L118" s="39">
        <f t="shared" si="33"/>
        <v>0.5438998525398278</v>
      </c>
      <c r="M118" s="30"/>
    </row>
    <row r="119" spans="1:13" s="20" customFormat="1" ht="42.75">
      <c r="A119" s="33" t="s">
        <v>236</v>
      </c>
      <c r="B119" s="38">
        <v>73631</v>
      </c>
      <c r="C119" s="34" t="s">
        <v>239</v>
      </c>
      <c r="D119" s="29" t="s">
        <v>9</v>
      </c>
      <c r="E119" s="39">
        <v>22.5</v>
      </c>
      <c r="F119" s="101">
        <v>72.71</v>
      </c>
      <c r="G119" s="102">
        <f>E119*F119</f>
        <v>1635.975</v>
      </c>
      <c r="H119" s="101">
        <v>109.07</v>
      </c>
      <c r="I119" s="102">
        <f>E119*H119</f>
        <v>2454.075</v>
      </c>
      <c r="J119" s="102">
        <f>F119+H119</f>
        <v>181.77999999999997</v>
      </c>
      <c r="K119" s="102">
        <f>E119*J119</f>
        <v>4090.0499999999993</v>
      </c>
      <c r="L119" s="39">
        <f t="shared" si="33"/>
        <v>1.3597047516680307</v>
      </c>
      <c r="M119" s="30"/>
    </row>
    <row r="120" spans="1:13" s="20" customFormat="1" ht="42.75">
      <c r="A120" s="33" t="s">
        <v>240</v>
      </c>
      <c r="B120" s="55" t="s">
        <v>237</v>
      </c>
      <c r="C120" s="34" t="s">
        <v>238</v>
      </c>
      <c r="D120" s="29" t="s">
        <v>124</v>
      </c>
      <c r="E120" s="39">
        <v>2</v>
      </c>
      <c r="F120" s="101">
        <v>58.69</v>
      </c>
      <c r="G120" s="102">
        <f>E120*F120</f>
        <v>117.38</v>
      </c>
      <c r="H120" s="101">
        <v>88.04</v>
      </c>
      <c r="I120" s="102">
        <f>E120*H120</f>
        <v>176.08</v>
      </c>
      <c r="J120" s="102">
        <f>F120+H120</f>
        <v>146.73000000000002</v>
      </c>
      <c r="K120" s="102">
        <f>E120*J120</f>
        <v>293.46000000000004</v>
      </c>
      <c r="L120" s="39">
        <f t="shared" si="33"/>
        <v>0.0975584544014133</v>
      </c>
      <c r="M120" s="30"/>
    </row>
    <row r="121" spans="1:13" s="20" customFormat="1" ht="15">
      <c r="A121" s="19"/>
      <c r="B121" s="36"/>
      <c r="C121" s="33"/>
      <c r="D121" s="33"/>
      <c r="E121" s="39"/>
      <c r="F121" s="101"/>
      <c r="G121" s="39"/>
      <c r="H121" s="101"/>
      <c r="I121" s="39"/>
      <c r="J121" s="39"/>
      <c r="K121" s="58">
        <f>SUM(K102:K120)</f>
        <v>55366.71899999999</v>
      </c>
      <c r="L121" s="39"/>
      <c r="M121" s="30"/>
    </row>
    <row r="122" spans="1:13" s="20" customFormat="1" ht="15">
      <c r="A122" s="67" t="s">
        <v>207</v>
      </c>
      <c r="B122" s="68"/>
      <c r="C122" s="112" t="s">
        <v>51</v>
      </c>
      <c r="D122" s="33"/>
      <c r="E122" s="39"/>
      <c r="F122" s="101"/>
      <c r="G122" s="39"/>
      <c r="H122" s="101"/>
      <c r="I122" s="39"/>
      <c r="J122" s="39"/>
      <c r="K122" s="39"/>
      <c r="L122" s="39"/>
      <c r="M122" s="30"/>
    </row>
    <row r="123" spans="1:13" s="20" customFormat="1" ht="28.5">
      <c r="A123" s="33" t="s">
        <v>208</v>
      </c>
      <c r="B123" s="38">
        <v>9537</v>
      </c>
      <c r="C123" s="34" t="s">
        <v>69</v>
      </c>
      <c r="D123" s="33" t="s">
        <v>9</v>
      </c>
      <c r="E123" s="39">
        <v>134.9</v>
      </c>
      <c r="F123" s="101">
        <v>1.27</v>
      </c>
      <c r="G123" s="39">
        <f>E123*F123</f>
        <v>171.323</v>
      </c>
      <c r="H123" s="101">
        <v>1.91</v>
      </c>
      <c r="I123" s="39">
        <f>E123*H123</f>
        <v>257.659</v>
      </c>
      <c r="J123" s="39">
        <f>F123+H123</f>
        <v>3.1799999999999997</v>
      </c>
      <c r="K123" s="39">
        <f>E123*J123</f>
        <v>428.98199999999997</v>
      </c>
      <c r="L123" s="39">
        <f>K123/$K$128*100</f>
        <v>0.14261167070819555</v>
      </c>
      <c r="M123" s="30"/>
    </row>
    <row r="124" spans="1:13" s="20" customFormat="1" ht="28.5">
      <c r="A124" s="33" t="s">
        <v>209</v>
      </c>
      <c r="B124" s="38">
        <v>72553</v>
      </c>
      <c r="C124" s="34" t="s">
        <v>74</v>
      </c>
      <c r="D124" s="109" t="s">
        <v>12</v>
      </c>
      <c r="E124" s="102">
        <v>2</v>
      </c>
      <c r="F124" s="101">
        <v>77.48</v>
      </c>
      <c r="G124" s="102">
        <f>E124*F124</f>
        <v>154.96</v>
      </c>
      <c r="H124" s="101">
        <v>116.22</v>
      </c>
      <c r="I124" s="102">
        <f>E124*H124</f>
        <v>232.44</v>
      </c>
      <c r="J124" s="102">
        <f>F124+H124</f>
        <v>193.7</v>
      </c>
      <c r="K124" s="102">
        <f>E124*J124</f>
        <v>387.4</v>
      </c>
      <c r="L124" s="39">
        <f>K124/$K$128*100</f>
        <v>0.12878806391026887</v>
      </c>
      <c r="M124" s="30"/>
    </row>
    <row r="125" spans="1:13" s="20" customFormat="1" ht="28.5">
      <c r="A125" s="33" t="s">
        <v>210</v>
      </c>
      <c r="B125" s="60">
        <v>0</v>
      </c>
      <c r="C125" s="34" t="s">
        <v>195</v>
      </c>
      <c r="D125" s="109" t="s">
        <v>60</v>
      </c>
      <c r="E125" s="102">
        <v>2</v>
      </c>
      <c r="F125" s="101">
        <v>218.14</v>
      </c>
      <c r="G125" s="102">
        <f>E125*F125</f>
        <v>436.28</v>
      </c>
      <c r="H125" s="101">
        <v>327.21</v>
      </c>
      <c r="I125" s="102">
        <f>E125*H125</f>
        <v>654.42</v>
      </c>
      <c r="J125" s="102">
        <f>F125+H125</f>
        <v>545.3499999999999</v>
      </c>
      <c r="K125" s="102">
        <f>E125*J125</f>
        <v>1090.6999999999998</v>
      </c>
      <c r="L125" s="39">
        <f>K125/$K$128*100</f>
        <v>0.3625945826198509</v>
      </c>
      <c r="M125" s="30"/>
    </row>
    <row r="126" spans="1:13" s="20" customFormat="1" ht="57">
      <c r="A126" s="33" t="s">
        <v>241</v>
      </c>
      <c r="B126" s="60">
        <v>0</v>
      </c>
      <c r="C126" s="34" t="s">
        <v>242</v>
      </c>
      <c r="D126" s="29" t="s">
        <v>9</v>
      </c>
      <c r="E126" s="102">
        <v>195.75</v>
      </c>
      <c r="F126" s="101">
        <v>2.42</v>
      </c>
      <c r="G126" s="102">
        <f>E126*F126</f>
        <v>473.715</v>
      </c>
      <c r="H126" s="101">
        <v>3.64</v>
      </c>
      <c r="I126" s="102">
        <f>E126*H126</f>
        <v>712.53</v>
      </c>
      <c r="J126" s="102">
        <f>F126+H126</f>
        <v>6.0600000000000005</v>
      </c>
      <c r="K126" s="102">
        <f>E126*J126</f>
        <v>1186.2450000000001</v>
      </c>
      <c r="L126" s="39">
        <f>K126/$K$128*100</f>
        <v>0.39435776167588255</v>
      </c>
      <c r="M126" s="30"/>
    </row>
    <row r="127" spans="1:13" s="20" customFormat="1" ht="15">
      <c r="A127" s="19"/>
      <c r="B127" s="36"/>
      <c r="C127" s="33"/>
      <c r="D127" s="33"/>
      <c r="E127" s="33"/>
      <c r="F127" s="33"/>
      <c r="G127" s="33"/>
      <c r="H127" s="33"/>
      <c r="I127" s="33"/>
      <c r="J127" s="33"/>
      <c r="K127" s="35">
        <f>SUM(K123:K126)</f>
        <v>3093.327</v>
      </c>
      <c r="L127" s="33"/>
      <c r="M127" s="30"/>
    </row>
    <row r="128" spans="1:13" s="20" customFormat="1" ht="15">
      <c r="A128" s="86" t="s">
        <v>46</v>
      </c>
      <c r="B128" s="86"/>
      <c r="C128" s="86"/>
      <c r="D128" s="86"/>
      <c r="E128" s="86"/>
      <c r="F128" s="86"/>
      <c r="G128" s="21">
        <f>SUM(G12:G126)</f>
        <v>120316.05390000006</v>
      </c>
      <c r="H128" s="21"/>
      <c r="I128" s="21">
        <f>SUM(I12:I127)</f>
        <v>180488.21960000004</v>
      </c>
      <c r="J128" s="21"/>
      <c r="K128" s="21">
        <f>K13+K23+K29+K34+K40+K43+K54+K63+K70+K76+K84+K93+K100+K121+K127</f>
        <v>300804.2735</v>
      </c>
      <c r="L128" s="21">
        <f>SUM(L12:L126)</f>
        <v>100</v>
      </c>
      <c r="M128" s="30"/>
    </row>
    <row r="129" spans="1:12" s="20" customFormat="1" ht="12.75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</row>
    <row r="130" spans="1:12" s="20" customFormat="1" ht="15">
      <c r="A130" s="91" t="s">
        <v>73</v>
      </c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</row>
    <row r="131" spans="1:12" s="20" customFormat="1" ht="15">
      <c r="A131" s="92" t="s">
        <v>245</v>
      </c>
      <c r="B131" s="91"/>
      <c r="C131" s="91"/>
      <c r="D131" s="91"/>
      <c r="E131" s="91"/>
      <c r="F131" s="91"/>
      <c r="G131" s="91"/>
      <c r="H131" s="91"/>
      <c r="I131" s="91"/>
      <c r="J131" s="91"/>
      <c r="K131" s="91"/>
      <c r="L131" s="91"/>
    </row>
    <row r="132" spans="1:12" s="20" customFormat="1" ht="15">
      <c r="A132" s="92" t="s">
        <v>197</v>
      </c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L132" s="91"/>
    </row>
    <row r="133" spans="1:12" s="20" customFormat="1" ht="14.25">
      <c r="A133" s="88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</row>
    <row r="134" spans="1:12" s="20" customFormat="1" ht="14.25">
      <c r="A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</row>
    <row r="135" spans="1:12" s="20" customFormat="1" ht="14.25">
      <c r="A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</row>
    <row r="136" spans="1:12" s="20" customFormat="1" ht="12.75">
      <c r="A136" s="62"/>
      <c r="C136" s="62"/>
      <c r="D136" s="62"/>
      <c r="E136" s="62"/>
      <c r="F136" s="62"/>
      <c r="G136" s="63"/>
      <c r="H136" s="64"/>
      <c r="I136" s="63"/>
      <c r="J136" s="62"/>
      <c r="K136" s="63"/>
      <c r="L136" s="62"/>
    </row>
    <row r="137" spans="1:12" s="20" customFormat="1" ht="15">
      <c r="A137" s="84" t="s">
        <v>246</v>
      </c>
      <c r="B137" s="85"/>
      <c r="C137" s="84"/>
      <c r="D137" s="84"/>
      <c r="E137" s="84"/>
      <c r="F137" s="84"/>
      <c r="G137" s="84"/>
      <c r="H137" s="84"/>
      <c r="I137" s="84"/>
      <c r="J137" s="84"/>
      <c r="K137" s="84"/>
      <c r="L137" s="84"/>
    </row>
    <row r="138" spans="1:12" s="20" customFormat="1" ht="15">
      <c r="A138" s="66"/>
      <c r="C138" s="65"/>
      <c r="D138" s="65"/>
      <c r="E138" s="65"/>
      <c r="F138" s="65"/>
      <c r="G138" s="65"/>
      <c r="H138" s="65"/>
      <c r="I138" s="65"/>
      <c r="J138" s="65"/>
      <c r="K138" s="65"/>
      <c r="L138" s="65"/>
    </row>
    <row r="139" spans="1:12" s="20" customFormat="1" ht="15">
      <c r="A139" s="66"/>
      <c r="C139" s="65"/>
      <c r="D139" s="65"/>
      <c r="E139" s="65"/>
      <c r="F139" s="65"/>
      <c r="G139" s="65"/>
      <c r="H139" s="65"/>
      <c r="I139" s="65"/>
      <c r="J139" s="65"/>
      <c r="K139" s="65"/>
      <c r="L139" s="65"/>
    </row>
    <row r="140" spans="1:12" s="20" customFormat="1" ht="15">
      <c r="A140" s="66"/>
      <c r="C140" s="65"/>
      <c r="D140" s="65"/>
      <c r="E140" s="65"/>
      <c r="F140" s="65"/>
      <c r="G140" s="65"/>
      <c r="H140" s="65"/>
      <c r="I140" s="65"/>
      <c r="J140" s="65"/>
      <c r="K140" s="65"/>
      <c r="L140" s="65"/>
    </row>
    <row r="141" spans="1:12" s="20" customFormat="1" ht="15">
      <c r="A141" s="66"/>
      <c r="C141" s="65"/>
      <c r="D141" s="65"/>
      <c r="E141" s="65"/>
      <c r="F141" s="65"/>
      <c r="G141" s="65"/>
      <c r="H141" s="65"/>
      <c r="I141" s="65"/>
      <c r="J141" s="65"/>
      <c r="K141" s="65"/>
      <c r="L141" s="65"/>
    </row>
    <row r="142" spans="1:12" s="20" customFormat="1" ht="15">
      <c r="A142" s="66"/>
      <c r="C142" s="65"/>
      <c r="D142" s="65"/>
      <c r="E142" s="65"/>
      <c r="F142" s="65"/>
      <c r="G142" s="65"/>
      <c r="H142" s="65"/>
      <c r="I142" s="65"/>
      <c r="J142" s="65"/>
      <c r="K142" s="65"/>
      <c r="L142" s="65"/>
    </row>
    <row r="143" spans="1:12" s="20" customFormat="1" ht="12.75">
      <c r="A143" s="62"/>
      <c r="C143" s="62"/>
      <c r="D143" s="62"/>
      <c r="E143" s="62"/>
      <c r="F143" s="62"/>
      <c r="G143" s="63"/>
      <c r="H143" s="64"/>
      <c r="I143" s="63"/>
      <c r="J143" s="62"/>
      <c r="K143" s="63"/>
      <c r="L143" s="62"/>
    </row>
    <row r="144" spans="1:12" s="20" customFormat="1" ht="12.75">
      <c r="A144" s="62"/>
      <c r="C144" s="62"/>
      <c r="D144" s="62"/>
      <c r="E144" s="62"/>
      <c r="F144" s="62"/>
      <c r="G144" s="63"/>
      <c r="H144" s="64"/>
      <c r="I144" s="63"/>
      <c r="J144" s="62"/>
      <c r="K144" s="63"/>
      <c r="L144" s="62"/>
    </row>
    <row r="145" spans="1:12" s="20" customFormat="1" ht="12.75">
      <c r="A145" s="62"/>
      <c r="C145" s="62"/>
      <c r="D145" s="62"/>
      <c r="E145" s="62"/>
      <c r="F145" s="62"/>
      <c r="G145" s="63"/>
      <c r="H145" s="64"/>
      <c r="I145" s="63"/>
      <c r="J145" s="62"/>
      <c r="K145" s="63"/>
      <c r="L145" s="62"/>
    </row>
    <row r="146" spans="1:12" s="20" customFormat="1" ht="12.75">
      <c r="A146" s="62"/>
      <c r="C146" s="62"/>
      <c r="D146" s="62"/>
      <c r="E146" s="62"/>
      <c r="F146" s="62"/>
      <c r="G146" s="63"/>
      <c r="H146" s="64"/>
      <c r="I146" s="63"/>
      <c r="J146" s="62"/>
      <c r="K146" s="63"/>
      <c r="L146" s="62"/>
    </row>
    <row r="147" spans="1:12" s="20" customFormat="1" ht="15">
      <c r="A147" s="83" t="s">
        <v>196</v>
      </c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</row>
    <row r="148" spans="1:12" s="20" customFormat="1" ht="15">
      <c r="A148" s="83" t="s">
        <v>67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</row>
    <row r="149" spans="1:12" s="20" customFormat="1" ht="15">
      <c r="A149" s="83" t="s">
        <v>68</v>
      </c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</row>
    <row r="150" spans="1:12" s="20" customFormat="1" ht="12.75">
      <c r="A150" s="62"/>
      <c r="C150" s="62"/>
      <c r="D150" s="62"/>
      <c r="E150" s="62"/>
      <c r="F150" s="62"/>
      <c r="G150" s="63"/>
      <c r="H150" s="64"/>
      <c r="I150" s="63"/>
      <c r="J150" s="62"/>
      <c r="K150" s="63"/>
      <c r="L150" s="62"/>
    </row>
    <row r="151" spans="1:12" s="20" customFormat="1" ht="12.75">
      <c r="A151" s="62"/>
      <c r="C151" s="62"/>
      <c r="D151" s="62"/>
      <c r="E151" s="62"/>
      <c r="F151" s="62"/>
      <c r="G151" s="63"/>
      <c r="H151" s="64"/>
      <c r="I151" s="63"/>
      <c r="J151" s="62"/>
      <c r="K151" s="63"/>
      <c r="L151" s="62"/>
    </row>
    <row r="152" spans="1:12" s="20" customFormat="1" ht="12.75">
      <c r="A152" s="62"/>
      <c r="C152" s="62"/>
      <c r="D152" s="62"/>
      <c r="E152" s="62"/>
      <c r="F152" s="62"/>
      <c r="G152" s="63"/>
      <c r="H152" s="64"/>
      <c r="I152" s="63"/>
      <c r="J152" s="62"/>
      <c r="K152" s="63"/>
      <c r="L152" s="62"/>
    </row>
    <row r="153" spans="1:12" s="20" customFormat="1" ht="12.75">
      <c r="A153" s="62"/>
      <c r="C153" s="62"/>
      <c r="D153" s="62"/>
      <c r="E153" s="62"/>
      <c r="F153" s="62"/>
      <c r="G153" s="63"/>
      <c r="H153" s="64"/>
      <c r="I153" s="63"/>
      <c r="J153" s="62"/>
      <c r="K153" s="63"/>
      <c r="L153" s="62"/>
    </row>
    <row r="154" spans="1:12" s="20" customFormat="1" ht="12.75">
      <c r="A154" s="62"/>
      <c r="C154" s="62"/>
      <c r="D154" s="62"/>
      <c r="E154" s="62"/>
      <c r="F154" s="62"/>
      <c r="G154" s="63"/>
      <c r="H154" s="64"/>
      <c r="I154" s="63"/>
      <c r="J154" s="62"/>
      <c r="K154" s="63"/>
      <c r="L154" s="62"/>
    </row>
    <row r="155" spans="1:12" s="20" customFormat="1" ht="12.75">
      <c r="A155" s="62"/>
      <c r="C155" s="62"/>
      <c r="D155" s="62"/>
      <c r="E155" s="62"/>
      <c r="F155" s="62"/>
      <c r="G155" s="63"/>
      <c r="H155" s="64"/>
      <c r="I155" s="63"/>
      <c r="J155" s="62"/>
      <c r="K155" s="63"/>
      <c r="L155" s="62"/>
    </row>
    <row r="156" spans="1:12" s="20" customFormat="1" ht="12.75">
      <c r="A156" s="62"/>
      <c r="C156" s="62"/>
      <c r="D156" s="62"/>
      <c r="E156" s="62"/>
      <c r="F156" s="62"/>
      <c r="G156" s="63"/>
      <c r="H156" s="64"/>
      <c r="I156" s="63"/>
      <c r="J156" s="62"/>
      <c r="K156" s="63"/>
      <c r="L156" s="62"/>
    </row>
    <row r="157" spans="1:12" s="20" customFormat="1" ht="12.75">
      <c r="A157" s="62"/>
      <c r="C157" s="62"/>
      <c r="D157" s="62"/>
      <c r="E157" s="62"/>
      <c r="F157" s="62"/>
      <c r="G157" s="63"/>
      <c r="H157" s="64"/>
      <c r="I157" s="63"/>
      <c r="J157" s="62"/>
      <c r="K157" s="63"/>
      <c r="L157" s="62"/>
    </row>
    <row r="158" spans="1:12" s="20" customFormat="1" ht="12.75">
      <c r="A158" s="62"/>
      <c r="C158" s="62"/>
      <c r="D158" s="62"/>
      <c r="E158" s="62"/>
      <c r="F158" s="62"/>
      <c r="G158" s="63"/>
      <c r="H158" s="64"/>
      <c r="I158" s="63"/>
      <c r="J158" s="62"/>
      <c r="K158" s="63"/>
      <c r="L158" s="62"/>
    </row>
    <row r="159" spans="1:12" s="20" customFormat="1" ht="12.75">
      <c r="A159" s="62"/>
      <c r="C159" s="62"/>
      <c r="D159" s="62"/>
      <c r="E159" s="62"/>
      <c r="F159" s="62"/>
      <c r="G159" s="63"/>
      <c r="H159" s="64"/>
      <c r="I159" s="63"/>
      <c r="J159" s="62"/>
      <c r="K159" s="63"/>
      <c r="L159" s="62"/>
    </row>
    <row r="160" spans="1:12" s="20" customFormat="1" ht="12.75">
      <c r="A160" s="62"/>
      <c r="C160" s="62"/>
      <c r="D160" s="62"/>
      <c r="E160" s="62"/>
      <c r="F160" s="62"/>
      <c r="G160" s="63"/>
      <c r="H160" s="64"/>
      <c r="I160" s="63"/>
      <c r="J160" s="62"/>
      <c r="K160" s="63"/>
      <c r="L160" s="62"/>
    </row>
    <row r="161" spans="1:12" s="20" customFormat="1" ht="12.75">
      <c r="A161" s="62"/>
      <c r="C161" s="62"/>
      <c r="D161" s="62"/>
      <c r="E161" s="62"/>
      <c r="F161" s="62"/>
      <c r="G161" s="63"/>
      <c r="H161" s="64"/>
      <c r="I161" s="63"/>
      <c r="J161" s="62"/>
      <c r="K161" s="63"/>
      <c r="L161" s="62"/>
    </row>
    <row r="162" spans="1:12" s="20" customFormat="1" ht="12.75">
      <c r="A162" s="62"/>
      <c r="C162" s="62"/>
      <c r="D162" s="62"/>
      <c r="E162" s="62"/>
      <c r="F162" s="62"/>
      <c r="G162" s="63"/>
      <c r="H162" s="64"/>
      <c r="I162" s="63"/>
      <c r="J162" s="62"/>
      <c r="K162" s="63"/>
      <c r="L162" s="62"/>
    </row>
    <row r="163" spans="1:12" s="20" customFormat="1" ht="12.75">
      <c r="A163" s="62"/>
      <c r="C163" s="62"/>
      <c r="D163" s="62"/>
      <c r="E163" s="62"/>
      <c r="F163" s="62"/>
      <c r="G163" s="63"/>
      <c r="H163" s="64"/>
      <c r="I163" s="63"/>
      <c r="J163" s="62"/>
      <c r="K163" s="63"/>
      <c r="L163" s="62"/>
    </row>
    <row r="164" spans="1:12" s="20" customFormat="1" ht="12.75">
      <c r="A164" s="62"/>
      <c r="C164" s="62"/>
      <c r="D164" s="62"/>
      <c r="E164" s="62"/>
      <c r="F164" s="62"/>
      <c r="G164" s="63"/>
      <c r="H164" s="64"/>
      <c r="I164" s="7"/>
      <c r="J164" s="62"/>
      <c r="K164" s="7"/>
      <c r="L164" s="62"/>
    </row>
    <row r="165" spans="1:12" s="20" customFormat="1" ht="12.75">
      <c r="A165" s="45"/>
      <c r="C165" s="45"/>
      <c r="D165" s="45"/>
      <c r="E165" s="45"/>
      <c r="F165" s="45"/>
      <c r="G165" s="46"/>
      <c r="H165" s="45"/>
      <c r="I165" s="46"/>
      <c r="J165" s="45"/>
      <c r="K165" s="46"/>
      <c r="L165" s="45"/>
    </row>
    <row r="166" spans="1:12" ht="15">
      <c r="A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spans="1:12" ht="15">
      <c r="A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1:12" ht="15">
      <c r="A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1:12" ht="15">
      <c r="A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1:12" ht="15">
      <c r="A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1:12" ht="15">
      <c r="A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spans="1:12" ht="12.75">
      <c r="A172" s="5"/>
      <c r="C172" s="5"/>
      <c r="D172" s="5"/>
      <c r="E172" s="5"/>
      <c r="F172" s="5"/>
      <c r="G172" s="5"/>
      <c r="H172" s="5"/>
      <c r="I172" s="6"/>
      <c r="J172" s="5"/>
      <c r="K172" s="5"/>
      <c r="L172" s="5"/>
    </row>
    <row r="173" spans="1:12" ht="12.75">
      <c r="A173" s="2"/>
      <c r="C173" s="2"/>
      <c r="D173" s="2"/>
      <c r="E173" s="2"/>
      <c r="F173" s="2"/>
      <c r="G173" s="3"/>
      <c r="H173" s="2"/>
      <c r="I173" s="3"/>
      <c r="J173" s="2"/>
      <c r="K173" s="3"/>
      <c r="L173" s="2"/>
    </row>
    <row r="174" spans="1:12" ht="12.75">
      <c r="A174" s="2"/>
      <c r="C174" s="2"/>
      <c r="D174" s="2"/>
      <c r="E174" s="2"/>
      <c r="F174" s="2"/>
      <c r="G174" s="3"/>
      <c r="H174" s="2"/>
      <c r="I174" s="3"/>
      <c r="J174" s="2"/>
      <c r="K174" s="3"/>
      <c r="L174" s="2"/>
    </row>
  </sheetData>
  <sheetProtection/>
  <mergeCells count="21">
    <mergeCell ref="L9:L10"/>
    <mergeCell ref="C9:C10"/>
    <mergeCell ref="A148:L148"/>
    <mergeCell ref="B9:B10"/>
    <mergeCell ref="A130:L130"/>
    <mergeCell ref="A132:L132"/>
    <mergeCell ref="C94:E94"/>
    <mergeCell ref="H9:I9"/>
    <mergeCell ref="A147:L147"/>
    <mergeCell ref="E9:E10"/>
    <mergeCell ref="A131:L131"/>
    <mergeCell ref="A1:L1"/>
    <mergeCell ref="K9:K10"/>
    <mergeCell ref="A9:A10"/>
    <mergeCell ref="D9:D10"/>
    <mergeCell ref="F9:G9"/>
    <mergeCell ref="A149:L149"/>
    <mergeCell ref="A137:L137"/>
    <mergeCell ref="A128:F128"/>
    <mergeCell ref="A129:L129"/>
    <mergeCell ref="A133:L133"/>
  </mergeCells>
  <printOptions horizontalCentered="1"/>
  <pageMargins left="0.7874015748031497" right="0.3937007874015748" top="0.984251968503937" bottom="0.984251968503937" header="0.31496062992125984" footer="0.31496062992125984"/>
  <pageSetup horizontalDpi="360" verticalDpi="360" orientation="portrait" paperSize="9" scale="57" r:id="rId1"/>
  <rowBreaks count="1" manualBreakCount="1">
    <brk id="9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U43"/>
  <sheetViews>
    <sheetView zoomScaleSheetLayoutView="70" zoomScalePageLayoutView="0" workbookViewId="0" topLeftCell="A1">
      <selection activeCell="A34" sqref="A34:S34"/>
    </sheetView>
  </sheetViews>
  <sheetFormatPr defaultColWidth="11.421875" defaultRowHeight="12.75"/>
  <cols>
    <col min="1" max="1" width="6.00390625" style="0" bestFit="1" customWidth="1"/>
    <col min="2" max="2" width="29.57421875" style="0" bestFit="1" customWidth="1"/>
    <col min="3" max="3" width="12.57421875" style="1" bestFit="1" customWidth="1"/>
    <col min="4" max="4" width="11.00390625" style="1" bestFit="1" customWidth="1"/>
    <col min="5" max="5" width="6.57421875" style="0" bestFit="1" customWidth="1"/>
    <col min="6" max="6" width="11.28125" style="0" bestFit="1" customWidth="1"/>
    <col min="7" max="7" width="6.7109375" style="0" bestFit="1" customWidth="1"/>
    <col min="8" max="8" width="11.28125" style="1" bestFit="1" customWidth="1"/>
    <col min="9" max="9" width="6.7109375" style="0" bestFit="1" customWidth="1"/>
    <col min="10" max="10" width="11.00390625" style="0" bestFit="1" customWidth="1"/>
    <col min="11" max="11" width="7.57421875" style="0" bestFit="1" customWidth="1"/>
    <col min="12" max="12" width="10.00390625" style="0" bestFit="1" customWidth="1"/>
    <col min="13" max="13" width="6.57421875" style="0" bestFit="1" customWidth="1"/>
    <col min="14" max="14" width="10.57421875" style="0" customWidth="1"/>
    <col min="15" max="15" width="6.57421875" style="0" bestFit="1" customWidth="1"/>
    <col min="16" max="16" width="10.57421875" style="0" customWidth="1"/>
    <col min="17" max="17" width="6.57421875" style="0" bestFit="1" customWidth="1"/>
    <col min="18" max="18" width="11.7109375" style="1" bestFit="1" customWidth="1"/>
    <col min="19" max="19" width="8.421875" style="0" bestFit="1" customWidth="1"/>
  </cols>
  <sheetData>
    <row r="1" spans="1:19" ht="15">
      <c r="A1" s="96" t="s">
        <v>13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1:19" ht="15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15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15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15">
      <c r="A6" s="95" t="str">
        <f>ORÇAMENTO!A5:L5</f>
        <v>Obra: Ampliação Creche 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</row>
    <row r="7" spans="1:12" ht="15">
      <c r="A7" s="95" t="str">
        <f>ORÇAMENTO!A6:L6</f>
        <v>Local: Rua Adão Trindade, Centro, Coxilha - RS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25"/>
    </row>
    <row r="8" spans="1:12" ht="15">
      <c r="A8" s="95" t="str">
        <f>ORÇAMENTO!A7:L7</f>
        <v>Área de Obra: 161,65 m² 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25"/>
    </row>
    <row r="12" spans="1:19" ht="12.75">
      <c r="A12" s="10" t="s">
        <v>44</v>
      </c>
      <c r="B12" s="10" t="s">
        <v>0</v>
      </c>
      <c r="C12" s="11" t="s">
        <v>14</v>
      </c>
      <c r="D12" s="11" t="s">
        <v>15</v>
      </c>
      <c r="E12" s="8" t="s">
        <v>16</v>
      </c>
      <c r="F12" s="10" t="s">
        <v>17</v>
      </c>
      <c r="G12" s="8" t="s">
        <v>16</v>
      </c>
      <c r="H12" s="11" t="s">
        <v>18</v>
      </c>
      <c r="I12" s="8" t="s">
        <v>16</v>
      </c>
      <c r="J12" s="11" t="s">
        <v>19</v>
      </c>
      <c r="K12" s="8" t="s">
        <v>16</v>
      </c>
      <c r="L12" s="11" t="s">
        <v>20</v>
      </c>
      <c r="M12" s="8" t="s">
        <v>16</v>
      </c>
      <c r="N12" s="11" t="s">
        <v>21</v>
      </c>
      <c r="O12" s="8" t="s">
        <v>16</v>
      </c>
      <c r="P12" s="11" t="s">
        <v>21</v>
      </c>
      <c r="Q12" s="8" t="s">
        <v>16</v>
      </c>
      <c r="R12" s="11" t="s">
        <v>14</v>
      </c>
      <c r="S12" s="8" t="s">
        <v>22</v>
      </c>
    </row>
    <row r="13" spans="1:19" ht="12.75">
      <c r="A13" s="9"/>
      <c r="B13" s="12"/>
      <c r="C13" s="13"/>
      <c r="D13" s="13"/>
      <c r="E13" s="9"/>
      <c r="F13" s="9"/>
      <c r="G13" s="9"/>
      <c r="H13" s="13"/>
      <c r="I13" s="9"/>
      <c r="J13" s="14"/>
      <c r="K13" s="15"/>
      <c r="L13" s="9"/>
      <c r="M13" s="24">
        <f aca="true" t="shared" si="0" ref="M13:M28">(L13/$C$29)*100</f>
        <v>0</v>
      </c>
      <c r="N13" s="9"/>
      <c r="O13" s="24">
        <f aca="true" t="shared" si="1" ref="O13:O28">(N13/$C$29)*100</f>
        <v>0</v>
      </c>
      <c r="P13" s="9"/>
      <c r="Q13" s="24">
        <f aca="true" t="shared" si="2" ref="Q13:Q28">(P13/$C$29)*100</f>
        <v>0</v>
      </c>
      <c r="R13" s="13"/>
      <c r="S13" s="9"/>
    </row>
    <row r="14" spans="1:21" ht="12.75">
      <c r="A14" s="10">
        <v>1</v>
      </c>
      <c r="B14" s="12" t="str">
        <f>ORÇAMENTO!C11</f>
        <v>PRELIMINARES</v>
      </c>
      <c r="C14" s="23">
        <f>ORÇAMENTO!K13</f>
        <v>965.0505000000002</v>
      </c>
      <c r="D14" s="23">
        <f>C14</f>
        <v>965.0505000000002</v>
      </c>
      <c r="E14" s="23">
        <f aca="true" t="shared" si="3" ref="E14:E28">(D14/$C$29)*100</f>
        <v>0.3208234008018507</v>
      </c>
      <c r="F14" s="23"/>
      <c r="G14" s="23">
        <f aca="true" t="shared" si="4" ref="G14:G28">(F14/$C$29)*100</f>
        <v>0</v>
      </c>
      <c r="H14" s="23"/>
      <c r="I14" s="24">
        <f aca="true" t="shared" si="5" ref="I14:I28">(H14/$C$29)*100</f>
        <v>0</v>
      </c>
      <c r="J14" s="23"/>
      <c r="K14" s="24">
        <f>(J14/C29)*100</f>
        <v>0</v>
      </c>
      <c r="L14" s="23"/>
      <c r="M14" s="24">
        <f t="shared" si="0"/>
        <v>0</v>
      </c>
      <c r="N14" s="23"/>
      <c r="O14" s="24">
        <f t="shared" si="1"/>
        <v>0</v>
      </c>
      <c r="P14" s="23"/>
      <c r="Q14" s="24">
        <f t="shared" si="2"/>
        <v>0</v>
      </c>
      <c r="R14" s="23">
        <f>D14+F14+H14+J14+L14+N14+P14</f>
        <v>965.0505000000002</v>
      </c>
      <c r="S14" s="16">
        <f>E14+G14+I14+K14+M14+O14+Q14</f>
        <v>0.3208234008018507</v>
      </c>
      <c r="U14" s="37"/>
    </row>
    <row r="15" spans="1:21" ht="12.75">
      <c r="A15" s="10">
        <f>A14+1</f>
        <v>2</v>
      </c>
      <c r="B15" s="12" t="str">
        <f>ORÇAMENTO!C14</f>
        <v>FUNDAÇÕES</v>
      </c>
      <c r="C15" s="23">
        <f>ORÇAMENTO!K23</f>
        <v>19913.9515</v>
      </c>
      <c r="D15" s="23">
        <f>C15</f>
        <v>19913.9515</v>
      </c>
      <c r="E15" s="23">
        <f t="shared" si="3"/>
        <v>6.620235566566842</v>
      </c>
      <c r="F15" s="23"/>
      <c r="G15" s="23">
        <f t="shared" si="4"/>
        <v>0</v>
      </c>
      <c r="H15" s="23"/>
      <c r="I15" s="24">
        <f t="shared" si="5"/>
        <v>0</v>
      </c>
      <c r="J15" s="23"/>
      <c r="K15" s="24">
        <f>(J15/C29)*100</f>
        <v>0</v>
      </c>
      <c r="L15" s="23"/>
      <c r="M15" s="24">
        <f t="shared" si="0"/>
        <v>0</v>
      </c>
      <c r="N15" s="23"/>
      <c r="O15" s="24">
        <f t="shared" si="1"/>
        <v>0</v>
      </c>
      <c r="P15" s="23"/>
      <c r="Q15" s="24">
        <f t="shared" si="2"/>
        <v>0</v>
      </c>
      <c r="R15" s="23">
        <f aca="true" t="shared" si="6" ref="R15:R28">D15+F15+H15+J15+L15+N15+P15</f>
        <v>19913.9515</v>
      </c>
      <c r="S15" s="16">
        <f aca="true" t="shared" si="7" ref="S15:S28">E15+G15+I15+K15+M15+O15+Q15</f>
        <v>6.620235566566842</v>
      </c>
      <c r="U15" s="37"/>
    </row>
    <row r="16" spans="1:21" ht="12.75">
      <c r="A16" s="10">
        <f>A15+1</f>
        <v>3</v>
      </c>
      <c r="B16" s="12" t="str">
        <f>ORÇAMENTO!C24</f>
        <v>SUPER ESTRUTURA</v>
      </c>
      <c r="C16" s="23">
        <f>ORÇAMENTO!K29</f>
        <v>8415.437199999998</v>
      </c>
      <c r="D16" s="23">
        <f>C16</f>
        <v>8415.437199999998</v>
      </c>
      <c r="E16" s="23">
        <f t="shared" si="3"/>
        <v>2.7976454928922405</v>
      </c>
      <c r="F16" s="23"/>
      <c r="G16" s="23">
        <f t="shared" si="4"/>
        <v>0</v>
      </c>
      <c r="H16" s="23"/>
      <c r="I16" s="24">
        <f t="shared" si="5"/>
        <v>0</v>
      </c>
      <c r="J16" s="23"/>
      <c r="K16" s="24">
        <f>(J16/C29)*100</f>
        <v>0</v>
      </c>
      <c r="L16" s="23"/>
      <c r="M16" s="24">
        <f t="shared" si="0"/>
        <v>0</v>
      </c>
      <c r="N16" s="23"/>
      <c r="O16" s="24">
        <f t="shared" si="1"/>
        <v>0</v>
      </c>
      <c r="P16" s="23"/>
      <c r="Q16" s="24">
        <f t="shared" si="2"/>
        <v>0</v>
      </c>
      <c r="R16" s="23">
        <f t="shared" si="6"/>
        <v>8415.437199999998</v>
      </c>
      <c r="S16" s="16">
        <f t="shared" si="7"/>
        <v>2.7976454928922405</v>
      </c>
      <c r="U16" s="37"/>
    </row>
    <row r="17" spans="1:21" ht="12.75">
      <c r="A17" s="10">
        <f aca="true" t="shared" si="8" ref="A17:A28">A16+1</f>
        <v>4</v>
      </c>
      <c r="B17" s="12" t="str">
        <f>ORÇAMENTO!C30</f>
        <v>PAREDES E DIVISÓRIAS</v>
      </c>
      <c r="C17" s="23">
        <f>ORÇAMENTO!K34</f>
        <v>25612.69</v>
      </c>
      <c r="D17" s="23"/>
      <c r="E17" s="23">
        <f t="shared" si="3"/>
        <v>0</v>
      </c>
      <c r="F17" s="23">
        <f>C17</f>
        <v>25612.69</v>
      </c>
      <c r="G17" s="23">
        <f t="shared" si="4"/>
        <v>8.51473607804312</v>
      </c>
      <c r="H17" s="23"/>
      <c r="I17" s="24">
        <f t="shared" si="5"/>
        <v>0</v>
      </c>
      <c r="J17" s="23"/>
      <c r="K17" s="24">
        <f>(J17/C29)*100</f>
        <v>0</v>
      </c>
      <c r="L17" s="23"/>
      <c r="M17" s="24">
        <f t="shared" si="0"/>
        <v>0</v>
      </c>
      <c r="N17" s="23"/>
      <c r="O17" s="24">
        <f t="shared" si="1"/>
        <v>0</v>
      </c>
      <c r="P17" s="23"/>
      <c r="Q17" s="24">
        <f t="shared" si="2"/>
        <v>0</v>
      </c>
      <c r="R17" s="23">
        <f t="shared" si="6"/>
        <v>25612.69</v>
      </c>
      <c r="S17" s="16">
        <f t="shared" si="7"/>
        <v>8.51473607804312</v>
      </c>
      <c r="U17" s="37"/>
    </row>
    <row r="18" spans="1:21" ht="12.75">
      <c r="A18" s="10">
        <f t="shared" si="8"/>
        <v>5</v>
      </c>
      <c r="B18" s="12" t="str">
        <f>ORÇAMENTO!C35</f>
        <v>RESPALDO</v>
      </c>
      <c r="C18" s="23">
        <f>ORÇAMENTO!K40</f>
        <v>10238.0857</v>
      </c>
      <c r="D18" s="23"/>
      <c r="E18" s="23">
        <f t="shared" si="3"/>
        <v>0</v>
      </c>
      <c r="F18" s="23">
        <f>C18</f>
        <v>10238.0857</v>
      </c>
      <c r="G18" s="23">
        <f t="shared" si="4"/>
        <v>3.403570561307202</v>
      </c>
      <c r="H18" s="23"/>
      <c r="I18" s="24">
        <f t="shared" si="5"/>
        <v>0</v>
      </c>
      <c r="J18" s="23"/>
      <c r="K18" s="24">
        <f>(J18/C29)*100</f>
        <v>0</v>
      </c>
      <c r="L18" s="23"/>
      <c r="M18" s="24">
        <f t="shared" si="0"/>
        <v>0</v>
      </c>
      <c r="N18" s="23"/>
      <c r="O18" s="24">
        <f t="shared" si="1"/>
        <v>0</v>
      </c>
      <c r="P18" s="23"/>
      <c r="Q18" s="24">
        <f t="shared" si="2"/>
        <v>0</v>
      </c>
      <c r="R18" s="23">
        <f t="shared" si="6"/>
        <v>10238.0857</v>
      </c>
      <c r="S18" s="16">
        <f t="shared" si="7"/>
        <v>3.403570561307202</v>
      </c>
      <c r="U18" s="37"/>
    </row>
    <row r="19" spans="1:21" ht="12.75">
      <c r="A19" s="10">
        <f t="shared" si="8"/>
        <v>6</v>
      </c>
      <c r="B19" s="12" t="str">
        <f>ORÇAMENTO!C41</f>
        <v>FORRO E BEIRAL</v>
      </c>
      <c r="C19" s="23">
        <f>ORÇAMENTO!K43</f>
        <v>16785.4225</v>
      </c>
      <c r="D19" s="23"/>
      <c r="E19" s="23">
        <f t="shared" si="3"/>
        <v>0</v>
      </c>
      <c r="F19" s="23"/>
      <c r="G19" s="23">
        <f t="shared" si="4"/>
        <v>0</v>
      </c>
      <c r="H19" s="23">
        <f>C19</f>
        <v>16785.4225</v>
      </c>
      <c r="I19" s="24">
        <f t="shared" si="5"/>
        <v>5.580180861360003</v>
      </c>
      <c r="J19" s="23"/>
      <c r="K19" s="24">
        <f>(J19/C29)*100</f>
        <v>0</v>
      </c>
      <c r="L19" s="23"/>
      <c r="M19" s="24">
        <f t="shared" si="0"/>
        <v>0</v>
      </c>
      <c r="N19" s="23"/>
      <c r="O19" s="24">
        <f t="shared" si="1"/>
        <v>0</v>
      </c>
      <c r="P19" s="23"/>
      <c r="Q19" s="24">
        <f t="shared" si="2"/>
        <v>0</v>
      </c>
      <c r="R19" s="23">
        <f t="shared" si="6"/>
        <v>16785.4225</v>
      </c>
      <c r="S19" s="16">
        <f t="shared" si="7"/>
        <v>5.580180861360003</v>
      </c>
      <c r="U19" s="37"/>
    </row>
    <row r="20" spans="1:21" ht="12.75">
      <c r="A20" s="10">
        <f t="shared" si="8"/>
        <v>7</v>
      </c>
      <c r="B20" s="17" t="str">
        <f>ORÇAMENTO!C44</f>
        <v>COBERTURA</v>
      </c>
      <c r="C20" s="23">
        <f>ORÇAMENTO!K54</f>
        <v>40971.0991</v>
      </c>
      <c r="D20" s="23"/>
      <c r="E20" s="23">
        <f t="shared" si="3"/>
        <v>0</v>
      </c>
      <c r="F20" s="23"/>
      <c r="G20" s="23">
        <f t="shared" si="4"/>
        <v>0</v>
      </c>
      <c r="H20" s="23">
        <f>C20</f>
        <v>40971.0991</v>
      </c>
      <c r="I20" s="24">
        <f t="shared" si="5"/>
        <v>13.620517628716467</v>
      </c>
      <c r="J20" s="23"/>
      <c r="K20" s="24">
        <f>(J20/C29)*100</f>
        <v>0</v>
      </c>
      <c r="L20" s="23"/>
      <c r="M20" s="24">
        <f t="shared" si="0"/>
        <v>0</v>
      </c>
      <c r="N20" s="23"/>
      <c r="O20" s="24">
        <f t="shared" si="1"/>
        <v>0</v>
      </c>
      <c r="P20" s="23"/>
      <c r="Q20" s="24">
        <f t="shared" si="2"/>
        <v>0</v>
      </c>
      <c r="R20" s="23">
        <f t="shared" si="6"/>
        <v>40971.0991</v>
      </c>
      <c r="S20" s="16">
        <f t="shared" si="7"/>
        <v>13.620517628716467</v>
      </c>
      <c r="U20" s="37"/>
    </row>
    <row r="21" spans="1:21" ht="12.75">
      <c r="A21" s="10">
        <f t="shared" si="8"/>
        <v>8</v>
      </c>
      <c r="B21" s="17" t="str">
        <f>ORÇAMENTO!C55</f>
        <v>REVESTIMENTOS</v>
      </c>
      <c r="C21" s="23">
        <f>ORÇAMENTO!K63</f>
        <v>34115.373700000004</v>
      </c>
      <c r="D21" s="23"/>
      <c r="E21" s="23">
        <f t="shared" si="3"/>
        <v>0</v>
      </c>
      <c r="F21" s="23"/>
      <c r="G21" s="23">
        <f t="shared" si="4"/>
        <v>0</v>
      </c>
      <c r="H21" s="23"/>
      <c r="I21" s="24">
        <f t="shared" si="5"/>
        <v>0</v>
      </c>
      <c r="J21" s="23">
        <f>C21</f>
        <v>34115.373700000004</v>
      </c>
      <c r="K21" s="24">
        <f>(J21/C29)*100</f>
        <v>11.341385979345137</v>
      </c>
      <c r="L21" s="23"/>
      <c r="M21" s="24">
        <f t="shared" si="0"/>
        <v>0</v>
      </c>
      <c r="N21" s="23"/>
      <c r="O21" s="24">
        <f t="shared" si="1"/>
        <v>0</v>
      </c>
      <c r="P21" s="23"/>
      <c r="Q21" s="24">
        <f t="shared" si="2"/>
        <v>0</v>
      </c>
      <c r="R21" s="23">
        <f t="shared" si="6"/>
        <v>34115.373700000004</v>
      </c>
      <c r="S21" s="16">
        <f t="shared" si="7"/>
        <v>11.341385979345137</v>
      </c>
      <c r="U21" s="37"/>
    </row>
    <row r="22" spans="1:21" ht="12.75">
      <c r="A22" s="10">
        <f t="shared" si="8"/>
        <v>9</v>
      </c>
      <c r="B22" s="17" t="str">
        <f>ORÇAMENTO!C64</f>
        <v>PISOS</v>
      </c>
      <c r="C22" s="23">
        <f>ORÇAMENTO!K70</f>
        <v>28442.9345</v>
      </c>
      <c r="D22" s="23"/>
      <c r="E22" s="23">
        <f t="shared" si="3"/>
        <v>0</v>
      </c>
      <c r="F22" s="23"/>
      <c r="G22" s="23">
        <f t="shared" si="4"/>
        <v>0</v>
      </c>
      <c r="H22" s="23"/>
      <c r="I22" s="24">
        <f t="shared" si="5"/>
        <v>0</v>
      </c>
      <c r="J22" s="23">
        <f>C22</f>
        <v>28442.9345</v>
      </c>
      <c r="K22" s="24">
        <f>(J22/C29)*100</f>
        <v>9.455628462007205</v>
      </c>
      <c r="L22" s="23"/>
      <c r="M22" s="24">
        <f t="shared" si="0"/>
        <v>0</v>
      </c>
      <c r="N22" s="23"/>
      <c r="O22" s="24">
        <f t="shared" si="1"/>
        <v>0</v>
      </c>
      <c r="P22" s="23"/>
      <c r="Q22" s="24">
        <f t="shared" si="2"/>
        <v>0</v>
      </c>
      <c r="R22" s="23">
        <f t="shared" si="6"/>
        <v>28442.9345</v>
      </c>
      <c r="S22" s="16">
        <f t="shared" si="7"/>
        <v>9.455628462007205</v>
      </c>
      <c r="U22" s="37"/>
    </row>
    <row r="23" spans="1:21" ht="12.75">
      <c r="A23" s="10">
        <f t="shared" si="8"/>
        <v>10</v>
      </c>
      <c r="B23" s="17" t="str">
        <f>ORÇAMENTO!C71</f>
        <v>ABERTURAS</v>
      </c>
      <c r="C23" s="23">
        <f>ORÇAMENTO!K76</f>
        <v>28338.341600000003</v>
      </c>
      <c r="D23" s="23"/>
      <c r="E23" s="23">
        <f t="shared" si="3"/>
        <v>0</v>
      </c>
      <c r="F23" s="23"/>
      <c r="G23" s="23">
        <f t="shared" si="4"/>
        <v>0</v>
      </c>
      <c r="H23" s="23"/>
      <c r="I23" s="24">
        <f t="shared" si="5"/>
        <v>0</v>
      </c>
      <c r="J23" s="23"/>
      <c r="K23" s="24">
        <f>(J23/C28)*100</f>
        <v>0</v>
      </c>
      <c r="L23" s="23">
        <f>C23</f>
        <v>28338.341600000003</v>
      </c>
      <c r="M23" s="24">
        <f t="shared" si="0"/>
        <v>9.420857380206069</v>
      </c>
      <c r="N23" s="23"/>
      <c r="O23" s="24">
        <f t="shared" si="1"/>
        <v>0</v>
      </c>
      <c r="P23" s="23"/>
      <c r="Q23" s="24">
        <f t="shared" si="2"/>
        <v>0</v>
      </c>
      <c r="R23" s="23">
        <f aca="true" t="shared" si="9" ref="R23:S27">D23+F23+H23+J23+L23+N23+P23</f>
        <v>28338.341600000003</v>
      </c>
      <c r="S23" s="16">
        <f t="shared" si="9"/>
        <v>9.420857380206069</v>
      </c>
      <c r="U23" s="37"/>
    </row>
    <row r="24" spans="1:21" ht="12.75">
      <c r="A24" s="10">
        <f t="shared" si="8"/>
        <v>11</v>
      </c>
      <c r="B24" s="17" t="str">
        <f>ORÇAMENTO!C77</f>
        <v>PINTURA</v>
      </c>
      <c r="C24" s="23">
        <f>ORÇAMENTO!K84</f>
        <v>16962.4312</v>
      </c>
      <c r="D24" s="23"/>
      <c r="E24" s="23">
        <f t="shared" si="3"/>
        <v>0</v>
      </c>
      <c r="F24" s="23"/>
      <c r="G24" s="23">
        <f t="shared" si="4"/>
        <v>0</v>
      </c>
      <c r="H24" s="23"/>
      <c r="I24" s="24">
        <f t="shared" si="5"/>
        <v>0</v>
      </c>
      <c r="J24" s="23"/>
      <c r="K24" s="24">
        <f>(J24/C25)*100</f>
        <v>0</v>
      </c>
      <c r="L24" s="23"/>
      <c r="M24" s="24">
        <f t="shared" si="0"/>
        <v>0</v>
      </c>
      <c r="N24" s="23">
        <f>C24</f>
        <v>16962.4312</v>
      </c>
      <c r="O24" s="24">
        <f t="shared" si="1"/>
        <v>5.639026002733967</v>
      </c>
      <c r="P24" s="23"/>
      <c r="Q24" s="24">
        <f t="shared" si="2"/>
        <v>0</v>
      </c>
      <c r="R24" s="23">
        <f t="shared" si="9"/>
        <v>16962.4312</v>
      </c>
      <c r="S24" s="16">
        <f t="shared" si="9"/>
        <v>5.639026002733967</v>
      </c>
      <c r="U24" s="37"/>
    </row>
    <row r="25" spans="1:21" ht="12.75">
      <c r="A25" s="10">
        <f t="shared" si="8"/>
        <v>12</v>
      </c>
      <c r="B25" s="17" t="str">
        <f>ORÇAMENTO!C85</f>
        <v>INSTALAÇÕES ELÉTRICAS</v>
      </c>
      <c r="C25" s="23">
        <f>ORÇAMENTO!K93</f>
        <v>7747.280000000001</v>
      </c>
      <c r="D25" s="23"/>
      <c r="E25" s="23">
        <f t="shared" si="3"/>
        <v>0</v>
      </c>
      <c r="F25" s="23">
        <f>C25*0.1</f>
        <v>774.7280000000001</v>
      </c>
      <c r="G25" s="23">
        <f t="shared" si="4"/>
        <v>0.2575521919903841</v>
      </c>
      <c r="H25" s="23">
        <f>C25*0.1</f>
        <v>774.7280000000001</v>
      </c>
      <c r="I25" s="24">
        <f t="shared" si="5"/>
        <v>0.2575521919903841</v>
      </c>
      <c r="J25" s="23"/>
      <c r="K25" s="24">
        <f>(J25/C28)*100</f>
        <v>0</v>
      </c>
      <c r="L25" s="23"/>
      <c r="M25" s="24">
        <f t="shared" si="0"/>
        <v>0</v>
      </c>
      <c r="N25" s="23">
        <f>C25*0.8</f>
        <v>6197.8240000000005</v>
      </c>
      <c r="O25" s="24">
        <f t="shared" si="1"/>
        <v>2.0604175359230728</v>
      </c>
      <c r="P25" s="23"/>
      <c r="Q25" s="24">
        <f t="shared" si="2"/>
        <v>0</v>
      </c>
      <c r="R25" s="23">
        <f t="shared" si="9"/>
        <v>7747.280000000001</v>
      </c>
      <c r="S25" s="16">
        <f t="shared" si="9"/>
        <v>2.575521919903841</v>
      </c>
      <c r="U25" s="37"/>
    </row>
    <row r="26" spans="1:21" ht="12.75">
      <c r="A26" s="10">
        <f t="shared" si="8"/>
        <v>13</v>
      </c>
      <c r="B26" s="17" t="str">
        <f>ORÇAMENTO!C94</f>
        <v>INSTALACOES HIDROSANITÁRIAS </v>
      </c>
      <c r="C26" s="23">
        <f>ORÇAMENTO!K100</f>
        <v>3836.13</v>
      </c>
      <c r="D26" s="23"/>
      <c r="E26" s="23">
        <f t="shared" si="3"/>
        <v>0</v>
      </c>
      <c r="F26" s="23"/>
      <c r="G26" s="23">
        <f t="shared" si="4"/>
        <v>0</v>
      </c>
      <c r="H26" s="23">
        <f>C26*0.1</f>
        <v>383.61300000000006</v>
      </c>
      <c r="I26" s="24">
        <f t="shared" si="5"/>
        <v>0.12752910573260193</v>
      </c>
      <c r="J26" s="23"/>
      <c r="K26" s="24">
        <f>(J26/C28)*100</f>
        <v>0</v>
      </c>
      <c r="L26" s="23"/>
      <c r="M26" s="24">
        <f t="shared" si="0"/>
        <v>0</v>
      </c>
      <c r="N26" s="23">
        <f>C26*0.9</f>
        <v>3452.5170000000003</v>
      </c>
      <c r="O26" s="24">
        <f t="shared" si="1"/>
        <v>1.1477619515934172</v>
      </c>
      <c r="P26" s="23"/>
      <c r="Q26" s="24">
        <f t="shared" si="2"/>
        <v>0</v>
      </c>
      <c r="R26" s="23">
        <f t="shared" si="9"/>
        <v>3836.13</v>
      </c>
      <c r="S26" s="16">
        <f t="shared" si="9"/>
        <v>1.2752910573260192</v>
      </c>
      <c r="U26" s="37"/>
    </row>
    <row r="27" spans="1:21" ht="12.75">
      <c r="A27" s="10">
        <f t="shared" si="8"/>
        <v>14</v>
      </c>
      <c r="B27" s="17" t="str">
        <f>ORÇAMENTO!C101</f>
        <v>NOVO ACESSO</v>
      </c>
      <c r="C27" s="23">
        <f>ORÇAMENTO!K121</f>
        <v>55366.71899999999</v>
      </c>
      <c r="D27" s="23"/>
      <c r="E27" s="23">
        <f t="shared" si="3"/>
        <v>0</v>
      </c>
      <c r="F27" s="23"/>
      <c r="G27" s="23">
        <f t="shared" si="4"/>
        <v>0</v>
      </c>
      <c r="H27" s="23"/>
      <c r="I27" s="24">
        <f t="shared" si="5"/>
        <v>0</v>
      </c>
      <c r="J27" s="23">
        <f>C27*0.25</f>
        <v>13841.679749999998</v>
      </c>
      <c r="K27" s="24">
        <f>(J27/C28)*100</f>
        <v>447.46901152060536</v>
      </c>
      <c r="L27" s="23">
        <f>C27*0.25</f>
        <v>13841.679749999998</v>
      </c>
      <c r="M27" s="24">
        <f t="shared" si="0"/>
        <v>4.601556882468958</v>
      </c>
      <c r="N27" s="23">
        <f>C27*0.5</f>
        <v>27683.359499999995</v>
      </c>
      <c r="O27" s="24">
        <f t="shared" si="1"/>
        <v>9.203113764937916</v>
      </c>
      <c r="P27" s="23"/>
      <c r="Q27" s="24">
        <f t="shared" si="2"/>
        <v>0</v>
      </c>
      <c r="R27" s="23">
        <f t="shared" si="9"/>
        <v>55366.71899999999</v>
      </c>
      <c r="S27" s="16">
        <f t="shared" si="9"/>
        <v>461.2736821680123</v>
      </c>
      <c r="U27" s="37"/>
    </row>
    <row r="28" spans="1:21" ht="12.75">
      <c r="A28" s="10">
        <f t="shared" si="8"/>
        <v>15</v>
      </c>
      <c r="B28" s="17" t="str">
        <f>ORÇAMENTO!C122</f>
        <v>DIVERSOS</v>
      </c>
      <c r="C28" s="23">
        <f>ORÇAMENTO!K127</f>
        <v>3093.327</v>
      </c>
      <c r="D28" s="23"/>
      <c r="E28" s="23">
        <f t="shared" si="3"/>
        <v>0</v>
      </c>
      <c r="F28" s="23"/>
      <c r="G28" s="23">
        <f t="shared" si="4"/>
        <v>0</v>
      </c>
      <c r="H28" s="23"/>
      <c r="I28" s="24">
        <f t="shared" si="5"/>
        <v>0</v>
      </c>
      <c r="J28" s="23"/>
      <c r="K28" s="24">
        <f>(J28/C29)*100</f>
        <v>0</v>
      </c>
      <c r="L28" s="23"/>
      <c r="M28" s="24">
        <f t="shared" si="0"/>
        <v>0</v>
      </c>
      <c r="N28" s="23">
        <f>C28</f>
        <v>3093.327</v>
      </c>
      <c r="O28" s="24">
        <f t="shared" si="1"/>
        <v>1.028352078914198</v>
      </c>
      <c r="P28" s="23"/>
      <c r="Q28" s="24">
        <f t="shared" si="2"/>
        <v>0</v>
      </c>
      <c r="R28" s="23">
        <f t="shared" si="6"/>
        <v>3093.327</v>
      </c>
      <c r="S28" s="16">
        <f t="shared" si="7"/>
        <v>1.028352078914198</v>
      </c>
      <c r="U28" s="37"/>
    </row>
    <row r="29" spans="1:19" ht="12.75">
      <c r="A29" s="93" t="s">
        <v>14</v>
      </c>
      <c r="B29" s="94"/>
      <c r="C29" s="23">
        <f aca="true" t="shared" si="10" ref="C29:S29">SUM(C14:C28)</f>
        <v>300804.2735</v>
      </c>
      <c r="D29" s="23">
        <f t="shared" si="10"/>
        <v>29294.4392</v>
      </c>
      <c r="E29" s="23">
        <f t="shared" si="10"/>
        <v>9.738704460260934</v>
      </c>
      <c r="F29" s="23">
        <f t="shared" si="10"/>
        <v>36625.5037</v>
      </c>
      <c r="G29" s="23">
        <f t="shared" si="10"/>
        <v>12.175858831340706</v>
      </c>
      <c r="H29" s="23">
        <f t="shared" si="10"/>
        <v>58914.8626</v>
      </c>
      <c r="I29" s="23">
        <f t="shared" si="10"/>
        <v>19.585779787799456</v>
      </c>
      <c r="J29" s="23">
        <f t="shared" si="10"/>
        <v>76399.98795</v>
      </c>
      <c r="K29" s="23">
        <f t="shared" si="10"/>
        <v>468.2660259619577</v>
      </c>
      <c r="L29" s="23">
        <f t="shared" si="10"/>
        <v>42180.02135</v>
      </c>
      <c r="M29" s="23">
        <f t="shared" si="10"/>
        <v>14.022414262675028</v>
      </c>
      <c r="N29" s="23">
        <f t="shared" si="10"/>
        <v>57389.458699999996</v>
      </c>
      <c r="O29" s="23">
        <f t="shared" si="10"/>
        <v>19.07867133410257</v>
      </c>
      <c r="P29" s="23">
        <f t="shared" si="10"/>
        <v>0</v>
      </c>
      <c r="Q29" s="23">
        <f t="shared" si="10"/>
        <v>0</v>
      </c>
      <c r="R29" s="23">
        <f t="shared" si="10"/>
        <v>300804.2735</v>
      </c>
      <c r="S29" s="23">
        <f t="shared" si="10"/>
        <v>542.8674546381365</v>
      </c>
    </row>
    <row r="30" ht="12.75">
      <c r="F30" s="1"/>
    </row>
    <row r="31" spans="1:19" ht="12.75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</row>
    <row r="32" spans="1:21" ht="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99"/>
      <c r="S32" s="99"/>
      <c r="T32" s="99"/>
      <c r="U32" s="99"/>
    </row>
    <row r="33" spans="1:19" ht="15">
      <c r="A33" s="99" t="str">
        <f>ORÇAMENTO!A137</f>
        <v>Passo Fundo, 10 de Abril  de 2019.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</row>
    <row r="34" spans="1:19" ht="15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</row>
    <row r="35" spans="2:21" ht="15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97"/>
      <c r="S35" s="97"/>
      <c r="T35" s="97"/>
      <c r="U35" s="97"/>
    </row>
    <row r="36" spans="2:19" ht="15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</row>
    <row r="38" spans="1:19" ht="12.75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</row>
    <row r="41" spans="1:19" ht="15">
      <c r="A41" s="97" t="str">
        <f>ORÇAMENTO!A147</f>
        <v>___________________________________________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</row>
    <row r="42" spans="1:19" ht="15">
      <c r="A42" s="97" t="str">
        <f>ORÇAMENTO!A148</f>
        <v>Paulo Francisco Morando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</row>
    <row r="43" spans="1:19" ht="15">
      <c r="A43" s="97" t="str">
        <f>ORÇAMENTO!A149</f>
        <v>Eng° Civil CREA-RS 53.822-D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</row>
  </sheetData>
  <sheetProtection/>
  <mergeCells count="14">
    <mergeCell ref="A43:S43"/>
    <mergeCell ref="A38:S38"/>
    <mergeCell ref="A31:S31"/>
    <mergeCell ref="A33:S33"/>
    <mergeCell ref="A34:S34"/>
    <mergeCell ref="R32:U32"/>
    <mergeCell ref="A29:B29"/>
    <mergeCell ref="A7:K7"/>
    <mergeCell ref="A1:S1"/>
    <mergeCell ref="A42:S42"/>
    <mergeCell ref="A6:S6"/>
    <mergeCell ref="R35:U35"/>
    <mergeCell ref="A8:K8"/>
    <mergeCell ref="A41:S41"/>
  </mergeCells>
  <printOptions/>
  <pageMargins left="0.5905511811023623" right="0.5905511811023623" top="1.7716535433070868" bottom="0.984251968503937" header="0.5118110236220472" footer="0.5118110236220472"/>
  <pageSetup horizontalDpi="600" verticalDpi="600" orientation="landscape" paperSize="9" scale="68" r:id="rId1"/>
  <colBreaks count="1" manualBreakCount="1">
    <brk id="19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iedoocef.xls</dc:title>
  <dc:subject/>
  <dc:creator>MACT</dc:creator>
  <cp:keywords/>
  <dc:description/>
  <cp:lastModifiedBy>Usuário do Windows</cp:lastModifiedBy>
  <cp:lastPrinted>2019-04-04T20:54:21Z</cp:lastPrinted>
  <dcterms:created xsi:type="dcterms:W3CDTF">1999-03-25T01:43:54Z</dcterms:created>
  <dcterms:modified xsi:type="dcterms:W3CDTF">2019-05-02T19:21:44Z</dcterms:modified>
  <cp:category/>
  <cp:version/>
  <cp:contentType/>
  <cp:contentStatus/>
</cp:coreProperties>
</file>